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a458b352674048/Documenten/"/>
    </mc:Choice>
  </mc:AlternateContent>
  <xr:revisionPtr revIDLastSave="0" documentId="8_{10F78329-25A9-6D48-BAD0-D9B629B76482}" xr6:coauthVersionLast="47" xr6:coauthVersionMax="47" xr10:uidLastSave="{00000000-0000-0000-0000-000000000000}"/>
  <bookViews>
    <workbookView xWindow="-38400" yWindow="-1580" windowWidth="38400" windowHeight="21600" tabRatio="863" xr2:uid="{F809F87C-283D-4B44-AE63-30DD1E72E2F0}"/>
  </bookViews>
  <sheets>
    <sheet name="Cover" sheetId="1" r:id="rId1"/>
    <sheet name="Control" sheetId="2" r:id="rId2"/>
    <sheet name="Exec. Summary" sheetId="13" r:id="rId3"/>
    <sheet name="Output" sheetId="10" r:id="rId4"/>
    <sheet name="Scenarios" sheetId="12" r:id="rId5"/>
    <sheet name="Value Creation Plan" sheetId="11" r:id="rId6"/>
    <sheet name="Model" sheetId="4" r:id="rId7"/>
    <sheet name="Historic FS" sheetId="14" r:id="rId8"/>
    <sheet name="Comps" sheetId="6" r:id="rId9"/>
    <sheet name="Valuation" sheetId="5" r:id="rId10"/>
    <sheet name="WACC" sheetId="9" state="hidden" r:id="rId11"/>
    <sheet name="Rf &amp; RM" sheetId="17" state="hidden" r:id="rId12"/>
    <sheet name="Betas" sheetId="18" state="hidden" r:id="rId13"/>
    <sheet name="Football Field" sheetId="8" r:id="rId14"/>
    <sheet name="Macros" sheetId="3" r:id="rId15"/>
  </sheets>
  <definedNames>
    <definedName name="_xlnm._FilterDatabase" localSheetId="1" hidden="1">Control!$B$67:$D$68</definedName>
    <definedName name="_xlnm._FilterDatabase" localSheetId="6" hidden="1">Model!$G$206:$J$211</definedName>
    <definedName name="_xlchart.v1.0" hidden="1">Output!$C$167:$C$172</definedName>
    <definedName name="_xlchart.v1.1" hidden="1">Output!$D$167:$D$172</definedName>
    <definedName name="_xlchart.v1.2" hidden="1">Output!$D$284:$D$286</definedName>
    <definedName name="_xlchart.v1.3" hidden="1">Output!$E$284:$E$286</definedName>
    <definedName name="_xlchart.v1.4" hidden="1">Output!$D$318:$D$320</definedName>
    <definedName name="_xlchart.v1.5" hidden="1">Output!$E$318:$E$320</definedName>
    <definedName name="_xlchart.v1.6" hidden="1">Output!$E$343:$E$346</definedName>
    <definedName name="_xlchart.v1.7" hidden="1">Output!$F$343:$F$346</definedName>
    <definedName name="_xlchart.v1.8" hidden="1">Output!$C$203:$C$213</definedName>
    <definedName name="_xlchart.v1.9" hidden="1">Output!$D$203:$D$213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4" l="1"/>
  <c r="D7" i="14"/>
  <c r="E7" i="14"/>
  <c r="B14" i="4"/>
  <c r="L71" i="13"/>
  <c r="L70" i="13"/>
  <c r="L69" i="13"/>
  <c r="D32" i="13"/>
  <c r="F32" i="13"/>
  <c r="E32" i="13"/>
  <c r="D10" i="10"/>
  <c r="B10" i="10"/>
  <c r="E13" i="13"/>
  <c r="E66" i="12"/>
  <c r="C201" i="10"/>
  <c r="D200" i="10"/>
  <c r="D199" i="10"/>
  <c r="C199" i="10"/>
  <c r="C200" i="10"/>
  <c r="D196" i="10"/>
  <c r="D195" i="10"/>
  <c r="D197" i="10" s="1"/>
  <c r="D194" i="10"/>
  <c r="D193" i="10"/>
  <c r="D192" i="10"/>
  <c r="D191" i="10"/>
  <c r="D190" i="10"/>
  <c r="D189" i="10"/>
  <c r="D188" i="10"/>
  <c r="D187" i="10"/>
  <c r="D186" i="10"/>
  <c r="C196" i="10"/>
  <c r="C195" i="10"/>
  <c r="C194" i="10"/>
  <c r="C193" i="10"/>
  <c r="C192" i="10"/>
  <c r="C191" i="10"/>
  <c r="C187" i="10"/>
  <c r="C186" i="10"/>
  <c r="B186" i="10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F185" i="10"/>
  <c r="G185" i="10" s="1"/>
  <c r="H185" i="10" s="1"/>
  <c r="I185" i="10" s="1"/>
  <c r="C185" i="10"/>
  <c r="D163" i="10"/>
  <c r="D162" i="10"/>
  <c r="C163" i="10"/>
  <c r="C162" i="10"/>
  <c r="C159" i="10"/>
  <c r="C155" i="10"/>
  <c r="C154" i="10"/>
  <c r="C167" i="10" s="1"/>
  <c r="C153" i="10"/>
  <c r="C172" i="10" s="1"/>
  <c r="B154" i="10"/>
  <c r="B155" i="10" s="1"/>
  <c r="B156" i="10" s="1"/>
  <c r="B157" i="10" s="1"/>
  <c r="B158" i="10" s="1"/>
  <c r="B159" i="10" s="1"/>
  <c r="F153" i="10"/>
  <c r="G153" i="10" s="1"/>
  <c r="H153" i="10" s="1"/>
  <c r="I153" i="10" s="1"/>
  <c r="C55" i="4"/>
  <c r="B55" i="4"/>
  <c r="L207" i="4"/>
  <c r="K211" i="4"/>
  <c r="I211" i="4"/>
  <c r="J207" i="4"/>
  <c r="H207" i="4"/>
  <c r="O50" i="4"/>
  <c r="P50" i="4" s="1"/>
  <c r="Q50" i="4" s="1"/>
  <c r="R50" i="4" s="1"/>
  <c r="S50" i="4" s="1"/>
  <c r="T50" i="4" s="1"/>
  <c r="U50" i="4" s="1"/>
  <c r="V50" i="4" s="1"/>
  <c r="W50" i="4" s="1"/>
  <c r="X50" i="4" s="1"/>
  <c r="O49" i="4"/>
  <c r="P49" i="4" s="1"/>
  <c r="Q49" i="4" s="1"/>
  <c r="R49" i="4" s="1"/>
  <c r="S49" i="4" s="1"/>
  <c r="T49" i="4" s="1"/>
  <c r="U49" i="4" s="1"/>
  <c r="V49" i="4" s="1"/>
  <c r="W49" i="4" s="1"/>
  <c r="X49" i="4" s="1"/>
  <c r="O48" i="4"/>
  <c r="P48" i="4" s="1"/>
  <c r="Q48" i="4" s="1"/>
  <c r="R48" i="4" s="1"/>
  <c r="S48" i="4" s="1"/>
  <c r="T48" i="4" s="1"/>
  <c r="U48" i="4" s="1"/>
  <c r="V48" i="4" s="1"/>
  <c r="W48" i="4" s="1"/>
  <c r="X48" i="4" s="1"/>
  <c r="B48" i="4"/>
  <c r="D110" i="2"/>
  <c r="D107" i="2"/>
  <c r="D103" i="2"/>
  <c r="B116" i="2"/>
  <c r="B113" i="2"/>
  <c r="C115" i="2"/>
  <c r="B115" i="2"/>
  <c r="B112" i="2"/>
  <c r="C419" i="4"/>
  <c r="C118" i="2"/>
  <c r="B118" i="2"/>
  <c r="D93" i="2"/>
  <c r="D504" i="4"/>
  <c r="D461" i="4"/>
  <c r="D453" i="4"/>
  <c r="D415" i="4"/>
  <c r="D416" i="4" s="1"/>
  <c r="D407" i="4"/>
  <c r="B405" i="4" s="1"/>
  <c r="D383" i="4"/>
  <c r="D354" i="4"/>
  <c r="D346" i="4"/>
  <c r="B569" i="4"/>
  <c r="B568" i="4"/>
  <c r="B549" i="4"/>
  <c r="B539" i="4"/>
  <c r="B550" i="4" s="1"/>
  <c r="O528" i="4"/>
  <c r="O520" i="4"/>
  <c r="O515" i="4"/>
  <c r="C506" i="4"/>
  <c r="C501" i="4"/>
  <c r="B501" i="4"/>
  <c r="C477" i="4"/>
  <c r="B477" i="4"/>
  <c r="O493" i="4"/>
  <c r="O485" i="4"/>
  <c r="O480" i="4"/>
  <c r="M477" i="4"/>
  <c r="K477" i="4"/>
  <c r="J477" i="4"/>
  <c r="I477" i="4"/>
  <c r="H477" i="4"/>
  <c r="C463" i="4"/>
  <c r="D462" i="4"/>
  <c r="C456" i="4"/>
  <c r="C454" i="4"/>
  <c r="O444" i="4"/>
  <c r="B426" i="4"/>
  <c r="O436" i="4"/>
  <c r="O431" i="4"/>
  <c r="C417" i="4"/>
  <c r="M426" i="4"/>
  <c r="K426" i="4"/>
  <c r="J426" i="4"/>
  <c r="I426" i="4"/>
  <c r="H426" i="4"/>
  <c r="C426" i="4"/>
  <c r="C410" i="4"/>
  <c r="C408" i="4"/>
  <c r="C406" i="4"/>
  <c r="C452" i="4" s="1"/>
  <c r="B406" i="4"/>
  <c r="B452" i="4" s="1"/>
  <c r="B409" i="4"/>
  <c r="B386" i="4"/>
  <c r="O389" i="4"/>
  <c r="B398" i="4"/>
  <c r="B397" i="4"/>
  <c r="B400" i="4"/>
  <c r="B399" i="4"/>
  <c r="O372" i="4"/>
  <c r="O364" i="4"/>
  <c r="D355" i="4"/>
  <c r="E70" i="13"/>
  <c r="E69" i="13"/>
  <c r="E68" i="13"/>
  <c r="F65" i="12"/>
  <c r="G59" i="12"/>
  <c r="X332" i="4"/>
  <c r="W332" i="4"/>
  <c r="V332" i="4"/>
  <c r="U332" i="4"/>
  <c r="T332" i="4"/>
  <c r="S332" i="4"/>
  <c r="I128" i="10" s="1"/>
  <c r="R332" i="4"/>
  <c r="H128" i="10" s="1"/>
  <c r="Q332" i="4"/>
  <c r="G128" i="10" s="1"/>
  <c r="P332" i="4"/>
  <c r="F128" i="10" s="1"/>
  <c r="X331" i="4"/>
  <c r="W331" i="4"/>
  <c r="V331" i="4"/>
  <c r="U331" i="4"/>
  <c r="T331" i="4"/>
  <c r="S331" i="4"/>
  <c r="R331" i="4"/>
  <c r="Q331" i="4"/>
  <c r="P331" i="4"/>
  <c r="C11" i="12"/>
  <c r="B11" i="12"/>
  <c r="C10" i="4"/>
  <c r="B10" i="4"/>
  <c r="C10" i="12"/>
  <c r="B10" i="12"/>
  <c r="D71" i="2" a="1"/>
  <c r="D71" i="2" s="1"/>
  <c r="O301" i="4"/>
  <c r="K69" i="13"/>
  <c r="E67" i="13"/>
  <c r="C71" i="13"/>
  <c r="C69" i="13"/>
  <c r="C68" i="13"/>
  <c r="C67" i="13"/>
  <c r="B65" i="13"/>
  <c r="B66" i="13" s="1"/>
  <c r="B67" i="13" s="1"/>
  <c r="B68" i="13" s="1"/>
  <c r="B69" i="13" s="1"/>
  <c r="B70" i="13" s="1"/>
  <c r="B71" i="13" s="1"/>
  <c r="H54" i="13"/>
  <c r="P35" i="13"/>
  <c r="P34" i="13"/>
  <c r="B54" i="13"/>
  <c r="B55" i="13" s="1"/>
  <c r="B56" i="13" s="1"/>
  <c r="B57" i="13" s="1"/>
  <c r="B58" i="13" s="1"/>
  <c r="B59" i="13" s="1"/>
  <c r="B60" i="13" s="1"/>
  <c r="B61" i="13" s="1"/>
  <c r="B62" i="13" s="1"/>
  <c r="B63" i="13" s="1"/>
  <c r="B16" i="13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D51" i="2"/>
  <c r="R18" i="13"/>
  <c r="F53" i="11" a="1"/>
  <c r="F53" i="11" s="1"/>
  <c r="F54" i="11"/>
  <c r="C54" i="11"/>
  <c r="S32" i="13"/>
  <c r="R32" i="13"/>
  <c r="Q32" i="13"/>
  <c r="P33" i="13"/>
  <c r="P32" i="13"/>
  <c r="P31" i="13"/>
  <c r="S18" i="13"/>
  <c r="Q18" i="13"/>
  <c r="P18" i="13"/>
  <c r="P17" i="13"/>
  <c r="T16" i="13"/>
  <c r="T30" i="13" s="1"/>
  <c r="R16" i="13"/>
  <c r="R30" i="13" s="1"/>
  <c r="H61" i="8"/>
  <c r="G61" i="8"/>
  <c r="H60" i="8"/>
  <c r="G60" i="8"/>
  <c r="D64" i="8"/>
  <c r="E64" i="8" s="1"/>
  <c r="D61" i="8"/>
  <c r="E61" i="8" s="1"/>
  <c r="D60" i="8"/>
  <c r="E60" i="8" s="1"/>
  <c r="AR57" i="8"/>
  <c r="K60" i="8"/>
  <c r="L60" i="8"/>
  <c r="M60" i="8"/>
  <c r="AR60" i="8"/>
  <c r="AS60" i="8"/>
  <c r="K61" i="8"/>
  <c r="L61" i="8"/>
  <c r="AR61" i="8"/>
  <c r="AS61" i="8"/>
  <c r="AR62" i="8"/>
  <c r="AS62" i="8"/>
  <c r="AR63" i="8"/>
  <c r="AS63" i="8"/>
  <c r="H64" i="8"/>
  <c r="G64" i="8" s="1"/>
  <c r="L64" i="8"/>
  <c r="M64" i="8"/>
  <c r="AR64" i="8"/>
  <c r="AS64" i="8"/>
  <c r="AR65" i="8"/>
  <c r="AS65" i="8"/>
  <c r="H68" i="8"/>
  <c r="F68" i="8" s="1"/>
  <c r="K68" i="8"/>
  <c r="AS68" i="8"/>
  <c r="AR68" i="8" s="1"/>
  <c r="H69" i="8"/>
  <c r="F69" i="8" s="1"/>
  <c r="K69" i="8"/>
  <c r="AS69" i="8"/>
  <c r="AR69" i="8" s="1"/>
  <c r="H70" i="8"/>
  <c r="F70" i="8" s="1"/>
  <c r="K70" i="8"/>
  <c r="AS70" i="8"/>
  <c r="AR70" i="8" s="1"/>
  <c r="H71" i="8"/>
  <c r="F71" i="8" s="1"/>
  <c r="K71" i="8"/>
  <c r="AS71" i="8"/>
  <c r="AR71" i="8" s="1"/>
  <c r="H72" i="8"/>
  <c r="F72" i="8" s="1"/>
  <c r="K72" i="8"/>
  <c r="AS72" i="8"/>
  <c r="AR72" i="8" s="1"/>
  <c r="H73" i="8"/>
  <c r="F73" i="8" s="1"/>
  <c r="K73" i="8"/>
  <c r="AS73" i="8"/>
  <c r="AR73" i="8" s="1"/>
  <c r="H74" i="8"/>
  <c r="K74" i="8"/>
  <c r="L74" i="8"/>
  <c r="M74" i="8"/>
  <c r="N74" i="8"/>
  <c r="O74" i="8"/>
  <c r="AS74" i="8"/>
  <c r="AR74" i="8" s="1"/>
  <c r="AS75" i="8"/>
  <c r="AR75" i="8" s="1"/>
  <c r="F52" i="8"/>
  <c r="AR33" i="8"/>
  <c r="AR36" i="8"/>
  <c r="AS36" i="8"/>
  <c r="AR37" i="8"/>
  <c r="AS37" i="8"/>
  <c r="AR38" i="8"/>
  <c r="AS38" i="8"/>
  <c r="AR39" i="8"/>
  <c r="AS39" i="8"/>
  <c r="AR40" i="8"/>
  <c r="AS40" i="8"/>
  <c r="AR41" i="8"/>
  <c r="AS41" i="8"/>
  <c r="H44" i="8"/>
  <c r="F44" i="8" s="1"/>
  <c r="K44" i="8"/>
  <c r="AS44" i="8"/>
  <c r="AR44" i="8" s="1"/>
  <c r="H45" i="8"/>
  <c r="F45" i="8" s="1"/>
  <c r="K45" i="8"/>
  <c r="AS45" i="8"/>
  <c r="H46" i="8"/>
  <c r="F46" i="8" s="1"/>
  <c r="K46" i="8"/>
  <c r="AS46" i="8"/>
  <c r="H47" i="8"/>
  <c r="F47" i="8" s="1"/>
  <c r="K47" i="8"/>
  <c r="AS47" i="8"/>
  <c r="H48" i="8"/>
  <c r="F48" i="8" s="1"/>
  <c r="K48" i="8"/>
  <c r="AS48" i="8"/>
  <c r="H49" i="8"/>
  <c r="F49" i="8" s="1"/>
  <c r="K49" i="8"/>
  <c r="AS49" i="8"/>
  <c r="H50" i="8"/>
  <c r="K50" i="8"/>
  <c r="L50" i="8"/>
  <c r="M50" i="8"/>
  <c r="N50" i="8"/>
  <c r="O50" i="8"/>
  <c r="AS50" i="8"/>
  <c r="AS51" i="8"/>
  <c r="H56" i="5"/>
  <c r="D314" i="10"/>
  <c r="D313" i="10"/>
  <c r="C314" i="10"/>
  <c r="C313" i="10"/>
  <c r="C281" i="10"/>
  <c r="C280" i="10"/>
  <c r="F70" i="10"/>
  <c r="E70" i="10"/>
  <c r="F64" i="10"/>
  <c r="E64" i="10"/>
  <c r="G61" i="10"/>
  <c r="G80" i="10" s="1"/>
  <c r="G70" i="10"/>
  <c r="G64" i="10"/>
  <c r="F40" i="10"/>
  <c r="E40" i="10"/>
  <c r="G40" i="10"/>
  <c r="H49" i="10"/>
  <c r="G49" i="10"/>
  <c r="E177" i="4"/>
  <c r="F177" i="4"/>
  <c r="G177" i="4"/>
  <c r="X169" i="4"/>
  <c r="W169" i="4"/>
  <c r="V169" i="4"/>
  <c r="U169" i="4"/>
  <c r="T169" i="4"/>
  <c r="S169" i="4"/>
  <c r="R169" i="4"/>
  <c r="Q169" i="4"/>
  <c r="P169" i="4"/>
  <c r="O169" i="4"/>
  <c r="C15" i="9"/>
  <c r="F11" i="18"/>
  <c r="H11" i="18" s="1"/>
  <c r="F106" i="18"/>
  <c r="H106" i="18" s="1"/>
  <c r="F105" i="18"/>
  <c r="H105" i="18" s="1"/>
  <c r="F104" i="18"/>
  <c r="H104" i="18" s="1"/>
  <c r="F103" i="18"/>
  <c r="H103" i="18" s="1"/>
  <c r="F102" i="18"/>
  <c r="H102" i="18" s="1"/>
  <c r="F101" i="18"/>
  <c r="H101" i="18" s="1"/>
  <c r="F100" i="18"/>
  <c r="H100" i="18" s="1"/>
  <c r="F99" i="18"/>
  <c r="H99" i="18" s="1"/>
  <c r="F98" i="18"/>
  <c r="H98" i="18" s="1"/>
  <c r="F97" i="18"/>
  <c r="H97" i="18" s="1"/>
  <c r="F96" i="18"/>
  <c r="H96" i="18" s="1"/>
  <c r="F95" i="18"/>
  <c r="H95" i="18" s="1"/>
  <c r="F94" i="18"/>
  <c r="H94" i="18" s="1"/>
  <c r="F93" i="18"/>
  <c r="H93" i="18" s="1"/>
  <c r="F92" i="18"/>
  <c r="H92" i="18" s="1"/>
  <c r="F91" i="18"/>
  <c r="H91" i="18" s="1"/>
  <c r="F90" i="18"/>
  <c r="H90" i="18" s="1"/>
  <c r="F89" i="18"/>
  <c r="H89" i="18" s="1"/>
  <c r="F88" i="18"/>
  <c r="H88" i="18" s="1"/>
  <c r="F87" i="18"/>
  <c r="H87" i="18" s="1"/>
  <c r="F86" i="18"/>
  <c r="H86" i="18" s="1"/>
  <c r="F85" i="18"/>
  <c r="H85" i="18" s="1"/>
  <c r="F84" i="18"/>
  <c r="H84" i="18" s="1"/>
  <c r="F83" i="18"/>
  <c r="H83" i="18" s="1"/>
  <c r="F82" i="18"/>
  <c r="H82" i="18" s="1"/>
  <c r="F81" i="18"/>
  <c r="H81" i="18" s="1"/>
  <c r="F80" i="18"/>
  <c r="H80" i="18" s="1"/>
  <c r="F79" i="18"/>
  <c r="H79" i="18" s="1"/>
  <c r="F78" i="18"/>
  <c r="H78" i="18" s="1"/>
  <c r="F77" i="18"/>
  <c r="H77" i="18" s="1"/>
  <c r="F76" i="18"/>
  <c r="H76" i="18" s="1"/>
  <c r="F75" i="18"/>
  <c r="H75" i="18" s="1"/>
  <c r="F74" i="18"/>
  <c r="H74" i="18" s="1"/>
  <c r="F73" i="18"/>
  <c r="H73" i="18" s="1"/>
  <c r="F72" i="18"/>
  <c r="H72" i="18" s="1"/>
  <c r="F71" i="18"/>
  <c r="H71" i="18" s="1"/>
  <c r="F70" i="18"/>
  <c r="H70" i="18" s="1"/>
  <c r="F69" i="18"/>
  <c r="H69" i="18" s="1"/>
  <c r="F68" i="18"/>
  <c r="H68" i="18" s="1"/>
  <c r="F67" i="18"/>
  <c r="H67" i="18" s="1"/>
  <c r="F66" i="18"/>
  <c r="H66" i="18" s="1"/>
  <c r="F65" i="18"/>
  <c r="H65" i="18" s="1"/>
  <c r="F64" i="18"/>
  <c r="H64" i="18" s="1"/>
  <c r="F63" i="18"/>
  <c r="H63" i="18" s="1"/>
  <c r="F62" i="18"/>
  <c r="H62" i="18" s="1"/>
  <c r="F61" i="18"/>
  <c r="H61" i="18" s="1"/>
  <c r="F60" i="18"/>
  <c r="H60" i="18" s="1"/>
  <c r="F59" i="18"/>
  <c r="H59" i="18" s="1"/>
  <c r="F58" i="18"/>
  <c r="H58" i="18" s="1"/>
  <c r="F57" i="18"/>
  <c r="H57" i="18" s="1"/>
  <c r="F56" i="18"/>
  <c r="H56" i="18" s="1"/>
  <c r="F55" i="18"/>
  <c r="H55" i="18" s="1"/>
  <c r="F54" i="18"/>
  <c r="H54" i="18" s="1"/>
  <c r="F53" i="18"/>
  <c r="H53" i="18" s="1"/>
  <c r="F52" i="18"/>
  <c r="H52" i="18" s="1"/>
  <c r="F51" i="18"/>
  <c r="H51" i="18" s="1"/>
  <c r="F50" i="18"/>
  <c r="H50" i="18" s="1"/>
  <c r="F49" i="18"/>
  <c r="H49" i="18" s="1"/>
  <c r="F48" i="18"/>
  <c r="H48" i="18" s="1"/>
  <c r="F47" i="18"/>
  <c r="H47" i="18" s="1"/>
  <c r="F46" i="18"/>
  <c r="H46" i="18" s="1"/>
  <c r="F45" i="18"/>
  <c r="H45" i="18" s="1"/>
  <c r="F44" i="18"/>
  <c r="H44" i="18" s="1"/>
  <c r="F43" i="18"/>
  <c r="H43" i="18" s="1"/>
  <c r="F42" i="18"/>
  <c r="H42" i="18" s="1"/>
  <c r="F41" i="18"/>
  <c r="H41" i="18" s="1"/>
  <c r="F40" i="18"/>
  <c r="H40" i="18" s="1"/>
  <c r="F39" i="18"/>
  <c r="H39" i="18" s="1"/>
  <c r="F38" i="18"/>
  <c r="H38" i="18" s="1"/>
  <c r="F37" i="18"/>
  <c r="H37" i="18" s="1"/>
  <c r="F36" i="18"/>
  <c r="H36" i="18" s="1"/>
  <c r="F35" i="18"/>
  <c r="H35" i="18" s="1"/>
  <c r="F34" i="18"/>
  <c r="H34" i="18" s="1"/>
  <c r="F33" i="18"/>
  <c r="H33" i="18" s="1"/>
  <c r="F32" i="18"/>
  <c r="H32" i="18" s="1"/>
  <c r="F31" i="18"/>
  <c r="H31" i="18" s="1"/>
  <c r="F30" i="18"/>
  <c r="H30" i="18" s="1"/>
  <c r="F29" i="18"/>
  <c r="H29" i="18" s="1"/>
  <c r="F28" i="18"/>
  <c r="H28" i="18" s="1"/>
  <c r="F27" i="18"/>
  <c r="H27" i="18" s="1"/>
  <c r="F26" i="18"/>
  <c r="H26" i="18" s="1"/>
  <c r="F25" i="18"/>
  <c r="H25" i="18" s="1"/>
  <c r="F24" i="18"/>
  <c r="H24" i="18" s="1"/>
  <c r="F23" i="18"/>
  <c r="H23" i="18" s="1"/>
  <c r="F22" i="18"/>
  <c r="H22" i="18" s="1"/>
  <c r="F21" i="18"/>
  <c r="H21" i="18" s="1"/>
  <c r="F20" i="18"/>
  <c r="H20" i="18" s="1"/>
  <c r="F19" i="18"/>
  <c r="H19" i="18" s="1"/>
  <c r="F18" i="18"/>
  <c r="H18" i="18" s="1"/>
  <c r="F17" i="18"/>
  <c r="H17" i="18" s="1"/>
  <c r="F16" i="18"/>
  <c r="F15" i="18"/>
  <c r="H15" i="18" s="1"/>
  <c r="F14" i="18"/>
  <c r="H14" i="18" s="1"/>
  <c r="F13" i="18"/>
  <c r="H13" i="18" s="1"/>
  <c r="F12" i="18"/>
  <c r="H12" i="18" s="1"/>
  <c r="X116" i="17"/>
  <c r="W116" i="17"/>
  <c r="V116" i="17"/>
  <c r="U116" i="17"/>
  <c r="T116" i="17"/>
  <c r="X115" i="17"/>
  <c r="W115" i="17"/>
  <c r="V115" i="17"/>
  <c r="U115" i="17"/>
  <c r="T115" i="17"/>
  <c r="X114" i="17"/>
  <c r="W114" i="17"/>
  <c r="V114" i="17"/>
  <c r="U114" i="17"/>
  <c r="T114" i="17"/>
  <c r="X113" i="17"/>
  <c r="W113" i="17"/>
  <c r="V113" i="17"/>
  <c r="U113" i="17"/>
  <c r="T113" i="17"/>
  <c r="X112" i="17"/>
  <c r="W112" i="17"/>
  <c r="V112" i="17"/>
  <c r="U112" i="17"/>
  <c r="T112" i="17"/>
  <c r="X111" i="17"/>
  <c r="W111" i="17"/>
  <c r="V111" i="17"/>
  <c r="U111" i="17"/>
  <c r="T111" i="17"/>
  <c r="X110" i="17"/>
  <c r="W110" i="17"/>
  <c r="V110" i="17"/>
  <c r="U110" i="17"/>
  <c r="T110" i="17"/>
  <c r="X109" i="17"/>
  <c r="W109" i="17"/>
  <c r="V109" i="17"/>
  <c r="U109" i="17"/>
  <c r="T109" i="17"/>
  <c r="X108" i="17"/>
  <c r="W108" i="17"/>
  <c r="X106" i="17"/>
  <c r="W106" i="17"/>
  <c r="V106" i="17"/>
  <c r="U106" i="17"/>
  <c r="T106" i="17"/>
  <c r="X105" i="17"/>
  <c r="W105" i="17"/>
  <c r="V105" i="17"/>
  <c r="U105" i="17"/>
  <c r="T105" i="17"/>
  <c r="X104" i="17"/>
  <c r="W104" i="17"/>
  <c r="V104" i="17"/>
  <c r="U104" i="17"/>
  <c r="T104" i="17"/>
  <c r="X103" i="17"/>
  <c r="W103" i="17"/>
  <c r="V103" i="17"/>
  <c r="U103" i="17"/>
  <c r="T103" i="17"/>
  <c r="X102" i="17"/>
  <c r="W102" i="17"/>
  <c r="V102" i="17"/>
  <c r="U102" i="17"/>
  <c r="T102" i="17"/>
  <c r="X101" i="17"/>
  <c r="W101" i="17"/>
  <c r="V101" i="17"/>
  <c r="U101" i="17"/>
  <c r="X100" i="17"/>
  <c r="W100" i="17"/>
  <c r="V100" i="17"/>
  <c r="U100" i="17"/>
  <c r="T100" i="17"/>
  <c r="X99" i="17"/>
  <c r="W99" i="17"/>
  <c r="V99" i="17"/>
  <c r="U99" i="17"/>
  <c r="T99" i="17"/>
  <c r="X98" i="17"/>
  <c r="W98" i="17"/>
  <c r="V98" i="17"/>
  <c r="U98" i="17"/>
  <c r="T98" i="17"/>
  <c r="X97" i="17"/>
  <c r="W97" i="17"/>
  <c r="V97" i="17"/>
  <c r="U97" i="17"/>
  <c r="T97" i="17"/>
  <c r="X96" i="17"/>
  <c r="W96" i="17"/>
  <c r="V96" i="17"/>
  <c r="U96" i="17"/>
  <c r="T96" i="17"/>
  <c r="X95" i="17"/>
  <c r="W95" i="17"/>
  <c r="V95" i="17"/>
  <c r="U95" i="17"/>
  <c r="T95" i="17"/>
  <c r="X94" i="17"/>
  <c r="W94" i="17"/>
  <c r="V94" i="17"/>
  <c r="U94" i="17"/>
  <c r="T94" i="17"/>
  <c r="T93" i="17"/>
  <c r="X92" i="17"/>
  <c r="W92" i="17"/>
  <c r="V92" i="17"/>
  <c r="U92" i="17"/>
  <c r="T92" i="17"/>
  <c r="X91" i="17"/>
  <c r="W91" i="17"/>
  <c r="V91" i="17"/>
  <c r="U91" i="17"/>
  <c r="T91" i="17"/>
  <c r="S91" i="17"/>
  <c r="X90" i="17"/>
  <c r="W90" i="17"/>
  <c r="V90" i="17"/>
  <c r="U90" i="17"/>
  <c r="T90" i="17"/>
  <c r="X89" i="17"/>
  <c r="X88" i="17"/>
  <c r="W88" i="17"/>
  <c r="V88" i="17"/>
  <c r="U88" i="17"/>
  <c r="T88" i="17"/>
  <c r="X87" i="17"/>
  <c r="W87" i="17"/>
  <c r="V87" i="17"/>
  <c r="U87" i="17"/>
  <c r="T87" i="17"/>
  <c r="X86" i="17"/>
  <c r="W86" i="17"/>
  <c r="V86" i="17"/>
  <c r="U86" i="17"/>
  <c r="T86" i="17"/>
  <c r="X85" i="17"/>
  <c r="W85" i="17"/>
  <c r="X84" i="17"/>
  <c r="W84" i="17"/>
  <c r="V84" i="17"/>
  <c r="U84" i="17"/>
  <c r="T84" i="17"/>
  <c r="X83" i="17"/>
  <c r="W83" i="17"/>
  <c r="V83" i="17"/>
  <c r="U83" i="17"/>
  <c r="T83" i="17"/>
  <c r="X82" i="17"/>
  <c r="W82" i="17"/>
  <c r="V82" i="17"/>
  <c r="U82" i="17"/>
  <c r="T82" i="17"/>
  <c r="X81" i="17"/>
  <c r="W81" i="17"/>
  <c r="V81" i="17"/>
  <c r="U81" i="17"/>
  <c r="T81" i="17"/>
  <c r="X80" i="17"/>
  <c r="W80" i="17"/>
  <c r="V80" i="17"/>
  <c r="U80" i="17"/>
  <c r="T80" i="17"/>
  <c r="X79" i="17"/>
  <c r="W79" i="17"/>
  <c r="V79" i="17"/>
  <c r="U79" i="17"/>
  <c r="T79" i="17"/>
  <c r="X78" i="17"/>
  <c r="W78" i="17"/>
  <c r="V78" i="17"/>
  <c r="U78" i="17"/>
  <c r="T78" i="17"/>
  <c r="X77" i="17"/>
  <c r="W77" i="17"/>
  <c r="V77" i="17"/>
  <c r="U77" i="17"/>
  <c r="T77" i="17"/>
  <c r="X76" i="17"/>
  <c r="W76" i="17"/>
  <c r="V76" i="17"/>
  <c r="U76" i="17"/>
  <c r="T76" i="17"/>
  <c r="X75" i="17"/>
  <c r="W75" i="17"/>
  <c r="V75" i="17"/>
  <c r="U75" i="17"/>
  <c r="T75" i="17"/>
  <c r="X74" i="17"/>
  <c r="W74" i="17"/>
  <c r="V74" i="17"/>
  <c r="U74" i="17"/>
  <c r="T74" i="17"/>
  <c r="X73" i="17"/>
  <c r="W73" i="17"/>
  <c r="V73" i="17"/>
  <c r="U73" i="17"/>
  <c r="T73" i="17"/>
  <c r="X72" i="17"/>
  <c r="W72" i="17"/>
  <c r="V72" i="17"/>
  <c r="X71" i="17"/>
  <c r="W71" i="17"/>
  <c r="V71" i="17"/>
  <c r="U71" i="17"/>
  <c r="T71" i="17"/>
  <c r="X70" i="17"/>
  <c r="W70" i="17"/>
  <c r="V70" i="17"/>
  <c r="U70" i="17"/>
  <c r="T70" i="17"/>
  <c r="X69" i="17"/>
  <c r="W69" i="17"/>
  <c r="V69" i="17"/>
  <c r="U69" i="17"/>
  <c r="T69" i="17"/>
  <c r="X68" i="17"/>
  <c r="W68" i="17"/>
  <c r="V68" i="17"/>
  <c r="U68" i="17"/>
  <c r="T68" i="17"/>
  <c r="X66" i="17"/>
  <c r="W66" i="17"/>
  <c r="V66" i="17"/>
  <c r="U66" i="17"/>
  <c r="T66" i="17"/>
  <c r="X65" i="17"/>
  <c r="W65" i="17"/>
  <c r="V65" i="17"/>
  <c r="U65" i="17"/>
  <c r="T65" i="17"/>
  <c r="X64" i="17"/>
  <c r="W64" i="17"/>
  <c r="V64" i="17"/>
  <c r="U64" i="17"/>
  <c r="T64" i="17"/>
  <c r="X62" i="17"/>
  <c r="W62" i="17"/>
  <c r="V62" i="17"/>
  <c r="U62" i="17"/>
  <c r="T62" i="17"/>
  <c r="X61" i="17"/>
  <c r="W61" i="17"/>
  <c r="V61" i="17"/>
  <c r="U61" i="17"/>
  <c r="T61" i="17"/>
  <c r="X60" i="17"/>
  <c r="W60" i="17"/>
  <c r="V60" i="17"/>
  <c r="U60" i="17"/>
  <c r="T60" i="17"/>
  <c r="X59" i="17"/>
  <c r="W59" i="17"/>
  <c r="V59" i="17"/>
  <c r="U59" i="17"/>
  <c r="T59" i="17"/>
  <c r="X58" i="17"/>
  <c r="W58" i="17"/>
  <c r="V58" i="17"/>
  <c r="U58" i="17"/>
  <c r="T58" i="17"/>
  <c r="X57" i="17"/>
  <c r="W57" i="17"/>
  <c r="V57" i="17"/>
  <c r="U57" i="17"/>
  <c r="T57" i="17"/>
  <c r="X56" i="17"/>
  <c r="W56" i="17"/>
  <c r="V56" i="17"/>
  <c r="U56" i="17"/>
  <c r="T56" i="17"/>
  <c r="X55" i="17"/>
  <c r="W55" i="17"/>
  <c r="V55" i="17"/>
  <c r="U55" i="17"/>
  <c r="T55" i="17"/>
  <c r="X54" i="17"/>
  <c r="W54" i="17"/>
  <c r="V54" i="17"/>
  <c r="U54" i="17"/>
  <c r="T54" i="17"/>
  <c r="X53" i="17"/>
  <c r="X51" i="17"/>
  <c r="W51" i="17"/>
  <c r="V51" i="17"/>
  <c r="X50" i="17"/>
  <c r="W50" i="17"/>
  <c r="V50" i="17"/>
  <c r="U50" i="17"/>
  <c r="T50" i="17"/>
  <c r="X49" i="17"/>
  <c r="W49" i="17"/>
  <c r="V49" i="17"/>
  <c r="U49" i="17"/>
  <c r="T49" i="17"/>
  <c r="X48" i="17"/>
  <c r="W48" i="17"/>
  <c r="V48" i="17"/>
  <c r="U48" i="17"/>
  <c r="T48" i="17"/>
  <c r="X47" i="17"/>
  <c r="W47" i="17"/>
  <c r="V47" i="17"/>
  <c r="U47" i="17"/>
  <c r="T47" i="17"/>
  <c r="X46" i="17"/>
  <c r="W46" i="17"/>
  <c r="V46" i="17"/>
  <c r="U46" i="17"/>
  <c r="T46" i="17"/>
  <c r="X45" i="17"/>
  <c r="W45" i="17"/>
  <c r="V45" i="17"/>
  <c r="U45" i="17"/>
  <c r="T45" i="17"/>
  <c r="X44" i="17"/>
  <c r="W44" i="17"/>
  <c r="V44" i="17"/>
  <c r="U44" i="17"/>
  <c r="T44" i="17"/>
  <c r="X43" i="17"/>
  <c r="W43" i="17"/>
  <c r="V43" i="17"/>
  <c r="U43" i="17"/>
  <c r="T43" i="17"/>
  <c r="X42" i="17"/>
  <c r="W42" i="17"/>
  <c r="V42" i="17"/>
  <c r="U42" i="17"/>
  <c r="T42" i="17"/>
  <c r="X41" i="17"/>
  <c r="W41" i="17"/>
  <c r="V41" i="17"/>
  <c r="U41" i="17"/>
  <c r="T41" i="17"/>
  <c r="X40" i="17"/>
  <c r="W40" i="17"/>
  <c r="V40" i="17"/>
  <c r="U40" i="17"/>
  <c r="T40" i="17"/>
  <c r="X39" i="17"/>
  <c r="W39" i="17"/>
  <c r="V39" i="17"/>
  <c r="U39" i="17"/>
  <c r="T39" i="17"/>
  <c r="X38" i="17"/>
  <c r="W38" i="17"/>
  <c r="V38" i="17"/>
  <c r="U38" i="17"/>
  <c r="X37" i="17"/>
  <c r="W37" i="17"/>
  <c r="V37" i="17"/>
  <c r="U37" i="17"/>
  <c r="T37" i="17"/>
  <c r="X36" i="17"/>
  <c r="W36" i="17"/>
  <c r="V36" i="17"/>
  <c r="U36" i="17"/>
  <c r="T36" i="17"/>
  <c r="X35" i="17"/>
  <c r="W35" i="17"/>
  <c r="V35" i="17"/>
  <c r="U35" i="17"/>
  <c r="T35" i="17"/>
  <c r="O35" i="17"/>
  <c r="X34" i="17"/>
  <c r="W34" i="17"/>
  <c r="N34" i="17"/>
  <c r="X33" i="17"/>
  <c r="W33" i="17"/>
  <c r="V33" i="17"/>
  <c r="U33" i="17"/>
  <c r="T33" i="17"/>
  <c r="X32" i="17"/>
  <c r="W32" i="17"/>
  <c r="V32" i="17"/>
  <c r="U32" i="17"/>
  <c r="T32" i="17"/>
  <c r="X31" i="17"/>
  <c r="W31" i="17"/>
  <c r="V31" i="17"/>
  <c r="U31" i="17"/>
  <c r="T31" i="17"/>
  <c r="X30" i="17"/>
  <c r="W30" i="17"/>
  <c r="V30" i="17"/>
  <c r="U30" i="17"/>
  <c r="T30" i="17"/>
  <c r="X29" i="17"/>
  <c r="W29" i="17"/>
  <c r="V29" i="17"/>
  <c r="U29" i="17"/>
  <c r="T29" i="17"/>
  <c r="X28" i="17"/>
  <c r="W28" i="17"/>
  <c r="V28" i="17"/>
  <c r="U28" i="17"/>
  <c r="T28" i="17"/>
  <c r="X27" i="17"/>
  <c r="W27" i="17"/>
  <c r="V27" i="17"/>
  <c r="U27" i="17"/>
  <c r="T26" i="17"/>
  <c r="X26" i="17"/>
  <c r="W26" i="17"/>
  <c r="V26" i="17"/>
  <c r="U26" i="17"/>
  <c r="T25" i="17"/>
  <c r="X25" i="17"/>
  <c r="W25" i="17"/>
  <c r="V25" i="17"/>
  <c r="U25" i="17"/>
  <c r="T24" i="17"/>
  <c r="X24" i="17"/>
  <c r="W24" i="17"/>
  <c r="V24" i="17"/>
  <c r="U24" i="17"/>
  <c r="T23" i="17"/>
  <c r="X23" i="17"/>
  <c r="W23" i="17"/>
  <c r="V23" i="17"/>
  <c r="U23" i="17"/>
  <c r="T22" i="17"/>
  <c r="X22" i="17"/>
  <c r="W22" i="17"/>
  <c r="V22" i="17"/>
  <c r="U22" i="17"/>
  <c r="T21" i="17"/>
  <c r="I21" i="17"/>
  <c r="I22" i="17" s="1"/>
  <c r="I23" i="17" s="1"/>
  <c r="I24" i="17" s="1"/>
  <c r="I25" i="17" s="1"/>
  <c r="I26" i="17" s="1"/>
  <c r="D39" i="2"/>
  <c r="K16" i="14"/>
  <c r="I27" i="14"/>
  <c r="G21" i="14"/>
  <c r="F21" i="14"/>
  <c r="E21" i="14"/>
  <c r="D21" i="14"/>
  <c r="E201" i="4"/>
  <c r="E66" i="10" s="1"/>
  <c r="E195" i="4"/>
  <c r="E62" i="10" s="1"/>
  <c r="F201" i="4"/>
  <c r="F66" i="10" s="1"/>
  <c r="F195" i="4"/>
  <c r="F62" i="10" s="1"/>
  <c r="G201" i="4"/>
  <c r="G195" i="4"/>
  <c r="L195" i="4" s="1"/>
  <c r="L202" i="4" s="1"/>
  <c r="F208" i="4"/>
  <c r="F72" i="10" s="1"/>
  <c r="E208" i="4"/>
  <c r="E72" i="10" s="1"/>
  <c r="G208" i="4"/>
  <c r="G72" i="10" s="1"/>
  <c r="F184" i="4"/>
  <c r="E184" i="4"/>
  <c r="F181" i="4"/>
  <c r="F39" i="10" s="1"/>
  <c r="E181" i="4"/>
  <c r="E39" i="10" s="1"/>
  <c r="G184" i="4"/>
  <c r="N184" i="4" s="1"/>
  <c r="G181" i="4"/>
  <c r="G179" i="4"/>
  <c r="F179" i="4"/>
  <c r="F37" i="10" s="1"/>
  <c r="E179" i="4"/>
  <c r="E37" i="10" s="1"/>
  <c r="E174" i="4"/>
  <c r="E32" i="10" s="1"/>
  <c r="D18" i="13" s="1"/>
  <c r="F174" i="4"/>
  <c r="F32" i="10" s="1"/>
  <c r="E18" i="13" s="1"/>
  <c r="F17" i="4"/>
  <c r="F18" i="4" s="1"/>
  <c r="G174" i="4"/>
  <c r="G32" i="10" s="1"/>
  <c r="I58" i="14"/>
  <c r="B56" i="14"/>
  <c r="B46" i="14"/>
  <c r="B25" i="14"/>
  <c r="G81" i="14"/>
  <c r="F81" i="14"/>
  <c r="G80" i="14" s="1"/>
  <c r="E81" i="14"/>
  <c r="F80" i="14"/>
  <c r="F77" i="14" s="1"/>
  <c r="E80" i="14"/>
  <c r="E77" i="14"/>
  <c r="H75" i="14"/>
  <c r="H77" i="14" s="1"/>
  <c r="G70" i="14"/>
  <c r="F70" i="14"/>
  <c r="E70" i="14"/>
  <c r="G65" i="14"/>
  <c r="F65" i="14"/>
  <c r="E65" i="14"/>
  <c r="G61" i="14"/>
  <c r="F61" i="14"/>
  <c r="E61" i="14"/>
  <c r="G59" i="14"/>
  <c r="F59" i="14"/>
  <c r="E59" i="14"/>
  <c r="G58" i="14"/>
  <c r="C54" i="14"/>
  <c r="C52" i="14"/>
  <c r="B52" i="14"/>
  <c r="C51" i="14"/>
  <c r="B51" i="14"/>
  <c r="G48" i="14"/>
  <c r="G44" i="14"/>
  <c r="F44" i="14"/>
  <c r="E44" i="14"/>
  <c r="G42" i="14"/>
  <c r="F42" i="14"/>
  <c r="E42" i="14"/>
  <c r="D42" i="14"/>
  <c r="F203" i="4"/>
  <c r="F68" i="10" s="1"/>
  <c r="E203" i="4"/>
  <c r="E68" i="10" s="1"/>
  <c r="F196" i="4"/>
  <c r="F63" i="10" s="1"/>
  <c r="E196" i="4"/>
  <c r="E63" i="10" s="1"/>
  <c r="G27" i="14"/>
  <c r="G19" i="14"/>
  <c r="F19" i="14"/>
  <c r="E19" i="14"/>
  <c r="I19" i="14" s="1"/>
  <c r="G175" i="4"/>
  <c r="F175" i="4"/>
  <c r="F33" i="10" s="1"/>
  <c r="E175" i="4"/>
  <c r="E33" i="10" s="1"/>
  <c r="I4" i="14"/>
  <c r="G4" i="14"/>
  <c r="F91" i="10"/>
  <c r="G91" i="10" s="1"/>
  <c r="H91" i="10" s="1"/>
  <c r="I91" i="10" s="1"/>
  <c r="J91" i="10" s="1"/>
  <c r="K91" i="10" s="1"/>
  <c r="L91" i="10" s="1"/>
  <c r="M91" i="10" s="1"/>
  <c r="N91" i="10" s="1"/>
  <c r="I61" i="10"/>
  <c r="J61" i="10" s="1"/>
  <c r="K61" i="10" s="1"/>
  <c r="L61" i="10" s="1"/>
  <c r="M61" i="10" s="1"/>
  <c r="N61" i="10" s="1"/>
  <c r="O61" i="10" s="1"/>
  <c r="P61" i="10" s="1"/>
  <c r="Q61" i="10" s="1"/>
  <c r="F31" i="10"/>
  <c r="I44" i="13"/>
  <c r="J44" i="13" s="1"/>
  <c r="K44" i="13" s="1"/>
  <c r="L44" i="13" s="1"/>
  <c r="I16" i="13"/>
  <c r="I54" i="13" s="1"/>
  <c r="D16" i="13"/>
  <c r="Q16" i="13" s="1"/>
  <c r="Q30" i="13" s="1"/>
  <c r="F16" i="13"/>
  <c r="S16" i="13" s="1"/>
  <c r="S30" i="13" s="1"/>
  <c r="E10" i="13"/>
  <c r="C10" i="13"/>
  <c r="E9" i="13"/>
  <c r="C9" i="13"/>
  <c r="E8" i="13"/>
  <c r="C8" i="13"/>
  <c r="E6" i="13"/>
  <c r="E5" i="13"/>
  <c r="C5" i="13"/>
  <c r="E4" i="13"/>
  <c r="C4" i="13"/>
  <c r="B37" i="12"/>
  <c r="B28" i="12"/>
  <c r="C11" i="4"/>
  <c r="B11" i="4"/>
  <c r="C9" i="4"/>
  <c r="B9" i="4"/>
  <c r="C8" i="4"/>
  <c r="B8" i="4"/>
  <c r="C6" i="4"/>
  <c r="C5" i="4"/>
  <c r="B5" i="4"/>
  <c r="C4" i="4"/>
  <c r="B4" i="4"/>
  <c r="B11" i="10"/>
  <c r="B9" i="10"/>
  <c r="B8" i="10"/>
  <c r="B5" i="10"/>
  <c r="B4" i="10"/>
  <c r="D11" i="10"/>
  <c r="D9" i="10"/>
  <c r="D8" i="10"/>
  <c r="D6" i="10"/>
  <c r="D5" i="10"/>
  <c r="D4" i="10"/>
  <c r="F48" i="11" a="1"/>
  <c r="F48" i="11" s="1"/>
  <c r="F40" i="11" a="1"/>
  <c r="F40" i="11" s="1"/>
  <c r="F31" i="11" a="1"/>
  <c r="F31" i="11" s="1"/>
  <c r="F23" i="11" a="1"/>
  <c r="F23" i="11" s="1"/>
  <c r="F45" i="11" a="1"/>
  <c r="F45" i="11" s="1"/>
  <c r="F37" i="11" a="1"/>
  <c r="F37" i="11" s="1"/>
  <c r="F28" i="11" a="1"/>
  <c r="F28" i="11" s="1"/>
  <c r="F20" i="11" a="1"/>
  <c r="F20" i="11" s="1"/>
  <c r="C3" i="11"/>
  <c r="C3" i="2"/>
  <c r="B3" i="2"/>
  <c r="C15" i="12"/>
  <c r="B15" i="12"/>
  <c r="D3" i="12"/>
  <c r="C12" i="12"/>
  <c r="B12" i="12"/>
  <c r="C9" i="12"/>
  <c r="B9" i="12"/>
  <c r="C8" i="12"/>
  <c r="B8" i="12"/>
  <c r="C6" i="12"/>
  <c r="C5" i="12"/>
  <c r="B5" i="12"/>
  <c r="C4" i="12"/>
  <c r="B4" i="12"/>
  <c r="B7" i="11"/>
  <c r="B6" i="11"/>
  <c r="N200" i="4"/>
  <c r="B165" i="4"/>
  <c r="B164" i="4"/>
  <c r="B163" i="4"/>
  <c r="C87" i="11"/>
  <c r="B166" i="4" s="1"/>
  <c r="C77" i="11"/>
  <c r="C82" i="11" s="1"/>
  <c r="S136" i="11"/>
  <c r="S100" i="11" s="1"/>
  <c r="R136" i="11"/>
  <c r="R100" i="11" s="1"/>
  <c r="Q136" i="11"/>
  <c r="Q100" i="11" s="1"/>
  <c r="P136" i="11"/>
  <c r="P100" i="11" s="1"/>
  <c r="O136" i="11"/>
  <c r="O100" i="11" s="1"/>
  <c r="N136" i="11"/>
  <c r="N100" i="11" s="1"/>
  <c r="M136" i="11"/>
  <c r="M100" i="11" s="1"/>
  <c r="L136" i="11"/>
  <c r="L100" i="11" s="1"/>
  <c r="K136" i="11"/>
  <c r="K100" i="11" s="1"/>
  <c r="J136" i="11"/>
  <c r="J100" i="11" s="1"/>
  <c r="G40" i="11"/>
  <c r="G31" i="11"/>
  <c r="G23" i="11"/>
  <c r="C83" i="11"/>
  <c r="C72" i="11"/>
  <c r="C78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E345" i="10"/>
  <c r="E344" i="10"/>
  <c r="B331" i="10"/>
  <c r="B332" i="10" s="1"/>
  <c r="B333" i="10" s="1"/>
  <c r="B334" i="10" s="1"/>
  <c r="B335" i="10" s="1"/>
  <c r="B336" i="10" s="1"/>
  <c r="B337" i="10" s="1"/>
  <c r="B338" i="10" s="1"/>
  <c r="B339" i="10" s="1"/>
  <c r="B340" i="10" s="1"/>
  <c r="C340" i="10"/>
  <c r="E346" i="10" s="1"/>
  <c r="C337" i="10"/>
  <c r="E343" i="10" s="1"/>
  <c r="F332" i="10"/>
  <c r="G332" i="10" s="1"/>
  <c r="H332" i="10" s="1"/>
  <c r="I332" i="10" s="1"/>
  <c r="J332" i="10" s="1"/>
  <c r="K332" i="10" s="1"/>
  <c r="L332" i="10" s="1"/>
  <c r="M332" i="10" s="1"/>
  <c r="N332" i="10" s="1"/>
  <c r="F330" i="10"/>
  <c r="D320" i="10"/>
  <c r="D319" i="10"/>
  <c r="D318" i="10"/>
  <c r="F126" i="10"/>
  <c r="G126" i="10" s="1"/>
  <c r="H126" i="10" s="1"/>
  <c r="I126" i="10" s="1"/>
  <c r="B127" i="10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C129" i="10"/>
  <c r="C130" i="10"/>
  <c r="N226" i="10"/>
  <c r="M226" i="10"/>
  <c r="L226" i="10"/>
  <c r="K226" i="10"/>
  <c r="F301" i="10"/>
  <c r="G301" i="10" s="1"/>
  <c r="H301" i="10" s="1"/>
  <c r="I301" i="10" s="1"/>
  <c r="J301" i="10" s="1"/>
  <c r="K301" i="10" s="1"/>
  <c r="L301" i="10" s="1"/>
  <c r="M301" i="10" s="1"/>
  <c r="N301" i="10" s="1"/>
  <c r="D301" i="10"/>
  <c r="D332" i="10" s="1"/>
  <c r="C301" i="10"/>
  <c r="C332" i="10" s="1"/>
  <c r="B297" i="10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F296" i="10"/>
  <c r="G296" i="10" s="1"/>
  <c r="H296" i="10" s="1"/>
  <c r="I296" i="10" s="1"/>
  <c r="J296" i="10" s="1"/>
  <c r="K296" i="10" s="1"/>
  <c r="L296" i="10" s="1"/>
  <c r="M296" i="10" s="1"/>
  <c r="N296" i="10" s="1"/>
  <c r="D286" i="10"/>
  <c r="D285" i="10"/>
  <c r="D284" i="10"/>
  <c r="B264" i="10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C277" i="10"/>
  <c r="C276" i="10"/>
  <c r="F268" i="10"/>
  <c r="G268" i="10" s="1"/>
  <c r="H268" i="10" s="1"/>
  <c r="I268" i="10" s="1"/>
  <c r="J268" i="10" s="1"/>
  <c r="K268" i="10" s="1"/>
  <c r="L268" i="10" s="1"/>
  <c r="M268" i="10" s="1"/>
  <c r="N268" i="10" s="1"/>
  <c r="F263" i="10"/>
  <c r="G263" i="10" s="1"/>
  <c r="H263" i="10" s="1"/>
  <c r="I263" i="10" s="1"/>
  <c r="J263" i="10" s="1"/>
  <c r="K263" i="10" s="1"/>
  <c r="L263" i="10" s="1"/>
  <c r="M263" i="10" s="1"/>
  <c r="N263" i="10" s="1"/>
  <c r="E250" i="10"/>
  <c r="D253" i="10"/>
  <c r="D252" i="10"/>
  <c r="D251" i="10"/>
  <c r="E232" i="10"/>
  <c r="D235" i="10"/>
  <c r="B244" i="10"/>
  <c r="B245" i="10" s="1"/>
  <c r="B246" i="10" s="1"/>
  <c r="B247" i="10" s="1"/>
  <c r="B248" i="10" s="1"/>
  <c r="B225" i="10"/>
  <c r="B226" i="10" s="1"/>
  <c r="B227" i="10" s="1"/>
  <c r="B228" i="10" s="1"/>
  <c r="B229" i="10" s="1"/>
  <c r="B230" i="10" s="1"/>
  <c r="F243" i="10"/>
  <c r="D229" i="10"/>
  <c r="J226" i="10"/>
  <c r="I226" i="10"/>
  <c r="H226" i="10"/>
  <c r="G226" i="10"/>
  <c r="F226" i="10"/>
  <c r="C228" i="10"/>
  <c r="C227" i="10"/>
  <c r="C226" i="10"/>
  <c r="C225" i="10"/>
  <c r="F224" i="10"/>
  <c r="E139" i="10"/>
  <c r="D141" i="10"/>
  <c r="D142" i="10" s="1"/>
  <c r="D137" i="10"/>
  <c r="D136" i="10"/>
  <c r="C137" i="10"/>
  <c r="C136" i="10"/>
  <c r="C133" i="10"/>
  <c r="D140" i="10" s="1"/>
  <c r="C132" i="10"/>
  <c r="E112" i="10"/>
  <c r="D115" i="10"/>
  <c r="D82" i="10"/>
  <c r="H80" i="10"/>
  <c r="I80" i="10" s="1"/>
  <c r="J80" i="10" s="1"/>
  <c r="K80" i="10" s="1"/>
  <c r="L80" i="10" s="1"/>
  <c r="M80" i="10" s="1"/>
  <c r="N80" i="10" s="1"/>
  <c r="O80" i="10" s="1"/>
  <c r="P80" i="10" s="1"/>
  <c r="Q80" i="10" s="1"/>
  <c r="D81" i="10"/>
  <c r="C104" i="10"/>
  <c r="C101" i="10"/>
  <c r="C100" i="10"/>
  <c r="C99" i="10"/>
  <c r="C98" i="10"/>
  <c r="C51" i="13" s="1"/>
  <c r="C97" i="10"/>
  <c r="C50" i="13" s="1"/>
  <c r="C96" i="10"/>
  <c r="C49" i="13" s="1"/>
  <c r="B92" i="10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C77" i="10"/>
  <c r="C75" i="10"/>
  <c r="C74" i="10"/>
  <c r="C73" i="10"/>
  <c r="C72" i="10"/>
  <c r="C71" i="10"/>
  <c r="C68" i="10"/>
  <c r="C67" i="10"/>
  <c r="C66" i="10"/>
  <c r="C65" i="10"/>
  <c r="C64" i="10"/>
  <c r="C63" i="10"/>
  <c r="C62" i="10"/>
  <c r="B62" i="10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C47" i="10"/>
  <c r="C46" i="10"/>
  <c r="D51" i="10" s="1"/>
  <c r="C45" i="10"/>
  <c r="C42" i="10"/>
  <c r="B32" i="10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17" i="10"/>
  <c r="B18" i="10" s="1"/>
  <c r="C38" i="10"/>
  <c r="C37" i="10"/>
  <c r="C36" i="10"/>
  <c r="C35" i="10"/>
  <c r="C94" i="10" s="1"/>
  <c r="C47" i="13" s="1"/>
  <c r="C34" i="10"/>
  <c r="C33" i="10"/>
  <c r="C93" i="10" s="1"/>
  <c r="C46" i="13" s="1"/>
  <c r="C32" i="10"/>
  <c r="C92" i="10" s="1"/>
  <c r="C45" i="13" s="1"/>
  <c r="I31" i="10"/>
  <c r="I49" i="10" s="1"/>
  <c r="D62" i="2"/>
  <c r="D68" i="2"/>
  <c r="C7" i="2"/>
  <c r="B7" i="2"/>
  <c r="B6" i="2"/>
  <c r="B284" i="4"/>
  <c r="B283" i="4"/>
  <c r="B282" i="4"/>
  <c r="B281" i="4"/>
  <c r="C328" i="4"/>
  <c r="B328" i="4"/>
  <c r="B332" i="4" s="1"/>
  <c r="N205" i="4"/>
  <c r="N109" i="4"/>
  <c r="N108" i="4"/>
  <c r="N107" i="4"/>
  <c r="N129" i="4"/>
  <c r="N128" i="4"/>
  <c r="N127" i="4"/>
  <c r="N115" i="4"/>
  <c r="N114" i="4"/>
  <c r="N113" i="4"/>
  <c r="N183" i="4"/>
  <c r="N182" i="4"/>
  <c r="N197" i="4"/>
  <c r="B327" i="4"/>
  <c r="C54" i="2"/>
  <c r="B54" i="2"/>
  <c r="C224" i="4"/>
  <c r="C246" i="4" s="1"/>
  <c r="B224" i="4"/>
  <c r="B246" i="4" s="1"/>
  <c r="B157" i="4"/>
  <c r="B156" i="4"/>
  <c r="B155" i="4"/>
  <c r="B154" i="4"/>
  <c r="D148" i="4"/>
  <c r="B150" i="4"/>
  <c r="B149" i="4"/>
  <c r="O144" i="4"/>
  <c r="P143" i="4"/>
  <c r="O143" i="4"/>
  <c r="D133" i="4"/>
  <c r="O133" i="4" s="1"/>
  <c r="P133" i="4" s="1"/>
  <c r="Q133" i="4" s="1"/>
  <c r="R133" i="4" s="1"/>
  <c r="S133" i="4" s="1"/>
  <c r="T133" i="4" s="1"/>
  <c r="U133" i="4" s="1"/>
  <c r="V133" i="4" s="1"/>
  <c r="W133" i="4" s="1"/>
  <c r="X133" i="4" s="1"/>
  <c r="D122" i="4"/>
  <c r="N310" i="4"/>
  <c r="B315" i="4"/>
  <c r="B316" i="4" s="1"/>
  <c r="B317" i="4" s="1"/>
  <c r="B318" i="4" s="1"/>
  <c r="B319" i="4" s="1"/>
  <c r="C305" i="4"/>
  <c r="B305" i="4"/>
  <c r="O325" i="4"/>
  <c r="O118" i="4"/>
  <c r="P118" i="4" s="1"/>
  <c r="Q118" i="4" s="1"/>
  <c r="R118" i="4" s="1"/>
  <c r="S118" i="4" s="1"/>
  <c r="T118" i="4" s="1"/>
  <c r="U118" i="4" s="1"/>
  <c r="V118" i="4" s="1"/>
  <c r="W118" i="4" s="1"/>
  <c r="X118" i="4" s="1"/>
  <c r="O68" i="4"/>
  <c r="O67" i="4"/>
  <c r="O31" i="4"/>
  <c r="P31" i="4" s="1"/>
  <c r="Q31" i="4" s="1"/>
  <c r="R31" i="4" s="1"/>
  <c r="S31" i="4" s="1"/>
  <c r="T31" i="4" s="1"/>
  <c r="U31" i="4" s="1"/>
  <c r="V31" i="4" s="1"/>
  <c r="W31" i="4" s="1"/>
  <c r="X31" i="4" s="1"/>
  <c r="N77" i="4"/>
  <c r="C13" i="9"/>
  <c r="B276" i="4"/>
  <c r="O271" i="4"/>
  <c r="B252" i="4"/>
  <c r="B250" i="4"/>
  <c r="C247" i="4"/>
  <c r="C245" i="4"/>
  <c r="B225" i="4"/>
  <c r="B247" i="4" s="1"/>
  <c r="B223" i="4"/>
  <c r="B245" i="4" s="1"/>
  <c r="X226" i="4"/>
  <c r="X248" i="4" s="1"/>
  <c r="W226" i="4"/>
  <c r="W248" i="4" s="1"/>
  <c r="V226" i="4"/>
  <c r="V248" i="4" s="1"/>
  <c r="U226" i="4"/>
  <c r="U248" i="4" s="1"/>
  <c r="T226" i="4"/>
  <c r="T248" i="4" s="1"/>
  <c r="S226" i="4"/>
  <c r="S248" i="4" s="1"/>
  <c r="R226" i="4"/>
  <c r="R248" i="4" s="1"/>
  <c r="Q226" i="4"/>
  <c r="Q248" i="4" s="1"/>
  <c r="P226" i="4"/>
  <c r="P248" i="4" s="1"/>
  <c r="O226" i="4"/>
  <c r="O248" i="4" s="1"/>
  <c r="B28" i="4"/>
  <c r="C28" i="4"/>
  <c r="N28" i="4"/>
  <c r="B102" i="4"/>
  <c r="B54" i="4"/>
  <c r="C16" i="9"/>
  <c r="AS27" i="8"/>
  <c r="AS26" i="8"/>
  <c r="N26" i="8"/>
  <c r="M26" i="8"/>
  <c r="L26" i="8"/>
  <c r="K26" i="8"/>
  <c r="H26" i="8"/>
  <c r="O26" i="8" s="1"/>
  <c r="AS25" i="8"/>
  <c r="K25" i="8"/>
  <c r="H25" i="8"/>
  <c r="F25" i="8"/>
  <c r="AS24" i="8"/>
  <c r="K24" i="8"/>
  <c r="H24" i="8"/>
  <c r="F24" i="8"/>
  <c r="E24" i="8" s="1"/>
  <c r="L24" i="8" s="1"/>
  <c r="AS23" i="8"/>
  <c r="K23" i="8"/>
  <c r="H23" i="8"/>
  <c r="F23" i="8"/>
  <c r="E23" i="8" s="1"/>
  <c r="L23" i="8" s="1"/>
  <c r="AS22" i="8"/>
  <c r="K22" i="8"/>
  <c r="H22" i="8"/>
  <c r="F22" i="8" s="1"/>
  <c r="E22" i="8" s="1"/>
  <c r="L22" i="8" s="1"/>
  <c r="AS21" i="8"/>
  <c r="K21" i="8"/>
  <c r="H21" i="8"/>
  <c r="F21" i="8"/>
  <c r="E21" i="8" s="1"/>
  <c r="L21" i="8" s="1"/>
  <c r="AS20" i="8"/>
  <c r="K20" i="8"/>
  <c r="H20" i="8"/>
  <c r="F20" i="8" s="1"/>
  <c r="E20" i="8" s="1"/>
  <c r="L20" i="8" s="1"/>
  <c r="AS17" i="8"/>
  <c r="AR17" i="8"/>
  <c r="AS16" i="8"/>
  <c r="AR16" i="8"/>
  <c r="AS15" i="8"/>
  <c r="AR15" i="8"/>
  <c r="AS14" i="8"/>
  <c r="AR14" i="8"/>
  <c r="AS13" i="8"/>
  <c r="AR13" i="8"/>
  <c r="AS12" i="8"/>
  <c r="AR12" i="8"/>
  <c r="AR9" i="8"/>
  <c r="B2" i="6"/>
  <c r="M15" i="5"/>
  <c r="L15" i="5"/>
  <c r="K15" i="5"/>
  <c r="J15" i="5"/>
  <c r="I15" i="5"/>
  <c r="H15" i="5"/>
  <c r="G15" i="5"/>
  <c r="C15" i="5"/>
  <c r="B15" i="5"/>
  <c r="I14" i="5"/>
  <c r="H14" i="5"/>
  <c r="G14" i="5"/>
  <c r="C14" i="5"/>
  <c r="B14" i="5"/>
  <c r="M13" i="5"/>
  <c r="L13" i="5"/>
  <c r="K13" i="5"/>
  <c r="J13" i="5"/>
  <c r="I13" i="5"/>
  <c r="H13" i="5"/>
  <c r="G13" i="5"/>
  <c r="C13" i="5"/>
  <c r="B13" i="5"/>
  <c r="L12" i="5"/>
  <c r="K12" i="5"/>
  <c r="J12" i="5"/>
  <c r="I12" i="5"/>
  <c r="H12" i="5"/>
  <c r="G12" i="5"/>
  <c r="C12" i="5"/>
  <c r="B12" i="5"/>
  <c r="M11" i="5"/>
  <c r="M23" i="5" s="1"/>
  <c r="M40" i="5" s="1"/>
  <c r="L11" i="5"/>
  <c r="L23" i="5" s="1"/>
  <c r="L40" i="5" s="1"/>
  <c r="K11" i="5"/>
  <c r="K23" i="5" s="1"/>
  <c r="K40" i="5" s="1"/>
  <c r="J11" i="5"/>
  <c r="J23" i="5" s="1"/>
  <c r="J40" i="5" s="1"/>
  <c r="I11" i="5"/>
  <c r="I23" i="5" s="1"/>
  <c r="I40" i="5" s="1"/>
  <c r="H11" i="5"/>
  <c r="H23" i="5" s="1"/>
  <c r="H40" i="5" s="1"/>
  <c r="G11" i="5"/>
  <c r="C11" i="5"/>
  <c r="B11" i="5"/>
  <c r="L10" i="5"/>
  <c r="K10" i="5"/>
  <c r="J10" i="5"/>
  <c r="I10" i="5"/>
  <c r="H10" i="5"/>
  <c r="G10" i="5"/>
  <c r="C10" i="5"/>
  <c r="B10" i="5"/>
  <c r="I7" i="5"/>
  <c r="J7" i="5" s="1"/>
  <c r="K7" i="5" s="1"/>
  <c r="L7" i="5" s="1"/>
  <c r="M7" i="5" s="1"/>
  <c r="N7" i="5" s="1"/>
  <c r="O7" i="5" s="1"/>
  <c r="P7" i="5" s="1"/>
  <c r="Q7" i="5" s="1"/>
  <c r="E5" i="5"/>
  <c r="E6" i="5" s="1"/>
  <c r="T27" i="4"/>
  <c r="S27" i="4"/>
  <c r="R27" i="4"/>
  <c r="Q27" i="4"/>
  <c r="P27" i="4"/>
  <c r="O27" i="4"/>
  <c r="P26" i="4"/>
  <c r="O26" i="4"/>
  <c r="T25" i="4"/>
  <c r="S25" i="4"/>
  <c r="R25" i="4"/>
  <c r="Q25" i="4"/>
  <c r="P25" i="4"/>
  <c r="O25" i="4"/>
  <c r="S24" i="4"/>
  <c r="R24" i="4"/>
  <c r="Q24" i="4"/>
  <c r="P24" i="4"/>
  <c r="O24" i="4"/>
  <c r="T23" i="4"/>
  <c r="S23" i="4"/>
  <c r="R23" i="4"/>
  <c r="Q23" i="4"/>
  <c r="P23" i="4"/>
  <c r="O23" i="4"/>
  <c r="S22" i="4"/>
  <c r="R22" i="4"/>
  <c r="Q22" i="4"/>
  <c r="P22" i="4"/>
  <c r="O22" i="4"/>
  <c r="N27" i="4"/>
  <c r="N26" i="4"/>
  <c r="N25" i="4"/>
  <c r="N24" i="4"/>
  <c r="N23" i="4"/>
  <c r="N22" i="4"/>
  <c r="C27" i="4"/>
  <c r="C26" i="4"/>
  <c r="C25" i="4"/>
  <c r="C24" i="4"/>
  <c r="C23" i="4"/>
  <c r="C22" i="4"/>
  <c r="B27" i="4"/>
  <c r="B26" i="4"/>
  <c r="B25" i="4"/>
  <c r="B24" i="4"/>
  <c r="B23" i="4"/>
  <c r="B22" i="4"/>
  <c r="F2" i="5"/>
  <c r="B2" i="5"/>
  <c r="B96" i="4"/>
  <c r="B95" i="4"/>
  <c r="B92" i="4"/>
  <c r="B89" i="4"/>
  <c r="B88" i="4"/>
  <c r="P19" i="4"/>
  <c r="Q19" i="4" s="1"/>
  <c r="R19" i="4" s="1"/>
  <c r="S19" i="4" s="1"/>
  <c r="T19" i="4" s="1"/>
  <c r="U19" i="4" s="1"/>
  <c r="V19" i="4" s="1"/>
  <c r="W19" i="4" s="1"/>
  <c r="X19" i="4" s="1"/>
  <c r="E17" i="4"/>
  <c r="E18" i="4" s="1"/>
  <c r="F15" i="3"/>
  <c r="L10" i="3"/>
  <c r="K9" i="3"/>
  <c r="T143" i="4" s="1"/>
  <c r="J9" i="3"/>
  <c r="S143" i="4" s="1"/>
  <c r="I9" i="3"/>
  <c r="R143" i="4" s="1"/>
  <c r="H9" i="3"/>
  <c r="Q143" i="4" s="1"/>
  <c r="L8" i="3"/>
  <c r="K7" i="3"/>
  <c r="L6" i="3"/>
  <c r="K5" i="3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I21" i="14" l="1"/>
  <c r="D82" i="2"/>
  <c r="D81" i="2"/>
  <c r="B451" i="4"/>
  <c r="B541" i="4"/>
  <c r="P144" i="4"/>
  <c r="O145" i="4"/>
  <c r="B19" i="10"/>
  <c r="B20" i="10" s="1"/>
  <c r="B21" i="10" s="1"/>
  <c r="B22" i="10" s="1"/>
  <c r="B23" i="10" s="1"/>
  <c r="B24" i="10" s="1"/>
  <c r="B25" i="10" s="1"/>
  <c r="B26" i="10" s="1"/>
  <c r="B27" i="10" s="1"/>
  <c r="E26" i="10"/>
  <c r="D69" i="13" s="1"/>
  <c r="E20" i="10"/>
  <c r="G70" i="13" s="1"/>
  <c r="B56" i="4"/>
  <c r="B51" i="4"/>
  <c r="B542" i="4"/>
  <c r="D505" i="4"/>
  <c r="B540" i="4"/>
  <c r="D356" i="4"/>
  <c r="D97" i="2" s="1"/>
  <c r="O346" i="4"/>
  <c r="P346" i="4" s="1"/>
  <c r="D345" i="4"/>
  <c r="O345" i="4" s="1"/>
  <c r="P345" i="4" s="1"/>
  <c r="Q345" i="4" s="1"/>
  <c r="R345" i="4" s="1"/>
  <c r="S345" i="4" s="1"/>
  <c r="T345" i="4" s="1"/>
  <c r="U345" i="4" s="1"/>
  <c r="V345" i="4" s="1"/>
  <c r="W345" i="4" s="1"/>
  <c r="X345" i="4" s="1"/>
  <c r="G84" i="14"/>
  <c r="I80" i="14"/>
  <c r="G39" i="10"/>
  <c r="N181" i="4"/>
  <c r="N201" i="4"/>
  <c r="N76" i="4" s="1"/>
  <c r="G66" i="10"/>
  <c r="H32" i="5"/>
  <c r="H49" i="5" s="1"/>
  <c r="G62" i="10"/>
  <c r="L68" i="13"/>
  <c r="L67" i="13" s="1"/>
  <c r="D149" i="4"/>
  <c r="D150" i="4"/>
  <c r="V108" i="17"/>
  <c r="U108" i="17"/>
  <c r="T108" i="17"/>
  <c r="W89" i="17"/>
  <c r="V89" i="17"/>
  <c r="U89" i="17"/>
  <c r="T89" i="17"/>
  <c r="U51" i="17"/>
  <c r="T51" i="17"/>
  <c r="D19" i="13"/>
  <c r="D23" i="13" s="1"/>
  <c r="Q17" i="13"/>
  <c r="Q19" i="13" s="1"/>
  <c r="E19" i="13"/>
  <c r="R17" i="13"/>
  <c r="R19" i="13" s="1"/>
  <c r="J16" i="13"/>
  <c r="J54" i="13" s="1"/>
  <c r="U16" i="13"/>
  <c r="U30" i="13" s="1"/>
  <c r="G170" i="4"/>
  <c r="S101" i="17"/>
  <c r="U72" i="17"/>
  <c r="T72" i="17"/>
  <c r="I70" i="14"/>
  <c r="I61" i="14"/>
  <c r="I37" i="14"/>
  <c r="X52" i="17"/>
  <c r="W52" i="17"/>
  <c r="V52" i="17"/>
  <c r="U52" i="17"/>
  <c r="T52" i="17"/>
  <c r="I59" i="14"/>
  <c r="E35" i="10"/>
  <c r="E171" i="4"/>
  <c r="F171" i="4"/>
  <c r="F35" i="10"/>
  <c r="G35" i="10"/>
  <c r="G171" i="4"/>
  <c r="H16" i="18"/>
  <c r="C8" i="9"/>
  <c r="C9" i="9" s="1"/>
  <c r="N179" i="4"/>
  <c r="N71" i="4" s="1"/>
  <c r="N73" i="4" s="1"/>
  <c r="G37" i="10"/>
  <c r="E84" i="14"/>
  <c r="I84" i="14" s="1"/>
  <c r="O60" i="4" s="1"/>
  <c r="N175" i="4"/>
  <c r="N41" i="4" s="1"/>
  <c r="N42" i="4" s="1"/>
  <c r="G33" i="10"/>
  <c r="F49" i="10"/>
  <c r="E31" i="10"/>
  <c r="F61" i="10"/>
  <c r="F80" i="10" s="1"/>
  <c r="AR45" i="8"/>
  <c r="AR46" i="8"/>
  <c r="AR47" i="8"/>
  <c r="AR48" i="8"/>
  <c r="AR49" i="8"/>
  <c r="AR50" i="8"/>
  <c r="AR51" i="8"/>
  <c r="M61" i="8"/>
  <c r="K64" i="8"/>
  <c r="G68" i="8"/>
  <c r="E68" i="8"/>
  <c r="E69" i="8"/>
  <c r="L69" i="8" s="1"/>
  <c r="G69" i="8"/>
  <c r="M69" i="8"/>
  <c r="E70" i="8"/>
  <c r="G70" i="8"/>
  <c r="E71" i="8"/>
  <c r="G71" i="8"/>
  <c r="E72" i="8"/>
  <c r="G72" i="8"/>
  <c r="E73" i="8"/>
  <c r="L73" i="8" s="1"/>
  <c r="G73" i="8"/>
  <c r="M73" i="8"/>
  <c r="G44" i="8"/>
  <c r="E44" i="8"/>
  <c r="N44" i="8"/>
  <c r="O44" i="8"/>
  <c r="G45" i="8"/>
  <c r="E45" i="8"/>
  <c r="G46" i="8"/>
  <c r="E46" i="8"/>
  <c r="G47" i="8"/>
  <c r="E47" i="8"/>
  <c r="G48" i="8"/>
  <c r="E48" i="8"/>
  <c r="G49" i="8"/>
  <c r="E49" i="8"/>
  <c r="G52" i="8"/>
  <c r="H52" i="8" s="1"/>
  <c r="E52" i="8"/>
  <c r="D52" i="8" s="1"/>
  <c r="F18" i="13"/>
  <c r="W93" i="17"/>
  <c r="T101" i="17"/>
  <c r="X93" i="17"/>
  <c r="U93" i="17"/>
  <c r="V85" i="17"/>
  <c r="U85" i="17"/>
  <c r="T85" i="17"/>
  <c r="W53" i="17"/>
  <c r="V53" i="17"/>
  <c r="U53" i="17"/>
  <c r="T53" i="17"/>
  <c r="T38" i="17"/>
  <c r="I27" i="17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I84" i="17" s="1"/>
  <c r="I85" i="17" s="1"/>
  <c r="I86" i="17" s="1"/>
  <c r="I87" i="17" s="1"/>
  <c r="I88" i="17" s="1"/>
  <c r="I89" i="17" s="1"/>
  <c r="I90" i="17" s="1"/>
  <c r="I91" i="17" s="1"/>
  <c r="I92" i="17" s="1"/>
  <c r="V93" i="17"/>
  <c r="P63" i="17"/>
  <c r="O63" i="17"/>
  <c r="N63" i="17"/>
  <c r="P116" i="17"/>
  <c r="N116" i="17"/>
  <c r="S116" i="17"/>
  <c r="O116" i="17"/>
  <c r="S115" i="17"/>
  <c r="O115" i="17"/>
  <c r="N115" i="17"/>
  <c r="P115" i="17"/>
  <c r="O114" i="17"/>
  <c r="S114" i="17"/>
  <c r="P114" i="17"/>
  <c r="N114" i="17"/>
  <c r="O113" i="17"/>
  <c r="S113" i="17"/>
  <c r="P113" i="17"/>
  <c r="N113" i="17"/>
  <c r="N112" i="17"/>
  <c r="O112" i="17"/>
  <c r="P112" i="17"/>
  <c r="S112" i="17"/>
  <c r="P111" i="17"/>
  <c r="S111" i="17"/>
  <c r="O111" i="17"/>
  <c r="N111" i="17"/>
  <c r="O110" i="17"/>
  <c r="S110" i="17"/>
  <c r="P110" i="17"/>
  <c r="N110" i="17"/>
  <c r="P109" i="17"/>
  <c r="S109" i="17"/>
  <c r="N109" i="17"/>
  <c r="O109" i="17"/>
  <c r="P108" i="17"/>
  <c r="O108" i="17"/>
  <c r="N108" i="17"/>
  <c r="S108" i="17"/>
  <c r="X107" i="17"/>
  <c r="X122" i="17" s="1"/>
  <c r="G121" i="17"/>
  <c r="F121" i="17"/>
  <c r="W107" i="17"/>
  <c r="W122" i="17" s="1"/>
  <c r="V107" i="17"/>
  <c r="V122" i="17" s="1"/>
  <c r="E121" i="17"/>
  <c r="D121" i="17"/>
  <c r="U107" i="17"/>
  <c r="U122" i="17" s="1"/>
  <c r="C121" i="17"/>
  <c r="T107" i="17"/>
  <c r="T122" i="17" s="1"/>
  <c r="N107" i="17"/>
  <c r="P107" i="17"/>
  <c r="S107" i="17"/>
  <c r="O107" i="17"/>
  <c r="B121" i="17"/>
  <c r="S106" i="17"/>
  <c r="O106" i="17"/>
  <c r="P106" i="17"/>
  <c r="N106" i="17"/>
  <c r="S105" i="17"/>
  <c r="O105" i="17"/>
  <c r="P105" i="17"/>
  <c r="N105" i="17"/>
  <c r="O104" i="17"/>
  <c r="S104" i="17"/>
  <c r="N104" i="17"/>
  <c r="P104" i="17"/>
  <c r="N103" i="17"/>
  <c r="P103" i="17"/>
  <c r="S103" i="17"/>
  <c r="O103" i="17"/>
  <c r="P102" i="17"/>
  <c r="O102" i="17"/>
  <c r="S102" i="17"/>
  <c r="N102" i="17"/>
  <c r="O101" i="17"/>
  <c r="P101" i="17"/>
  <c r="N101" i="17"/>
  <c r="O100" i="17"/>
  <c r="N100" i="17"/>
  <c r="S100" i="17"/>
  <c r="P100" i="17"/>
  <c r="N99" i="17"/>
  <c r="O99" i="17"/>
  <c r="S99" i="17"/>
  <c r="P99" i="17"/>
  <c r="O98" i="17"/>
  <c r="P98" i="17"/>
  <c r="N98" i="17"/>
  <c r="S98" i="17"/>
  <c r="O97" i="17"/>
  <c r="S97" i="17"/>
  <c r="N97" i="17"/>
  <c r="P97" i="17"/>
  <c r="O96" i="17"/>
  <c r="S96" i="17"/>
  <c r="N96" i="17"/>
  <c r="P96" i="17"/>
  <c r="O95" i="17"/>
  <c r="N95" i="17"/>
  <c r="P95" i="17"/>
  <c r="S95" i="17"/>
  <c r="S94" i="17"/>
  <c r="O94" i="17"/>
  <c r="N94" i="17"/>
  <c r="P94" i="17"/>
  <c r="N93" i="17"/>
  <c r="S93" i="17"/>
  <c r="P93" i="17"/>
  <c r="O93" i="17"/>
  <c r="P92" i="17"/>
  <c r="O92" i="17"/>
  <c r="S92" i="17"/>
  <c r="N92" i="17"/>
  <c r="P91" i="17"/>
  <c r="O91" i="17"/>
  <c r="N91" i="17"/>
  <c r="S90" i="17"/>
  <c r="P90" i="17"/>
  <c r="O90" i="17"/>
  <c r="N90" i="17"/>
  <c r="P89" i="17"/>
  <c r="N89" i="17"/>
  <c r="O89" i="17"/>
  <c r="S89" i="17"/>
  <c r="S88" i="17"/>
  <c r="P88" i="17"/>
  <c r="N88" i="17"/>
  <c r="O88" i="17"/>
  <c r="S87" i="17"/>
  <c r="O87" i="17"/>
  <c r="N87" i="17"/>
  <c r="P87" i="17"/>
  <c r="N86" i="17"/>
  <c r="O86" i="17"/>
  <c r="P86" i="17"/>
  <c r="S86" i="17"/>
  <c r="N85" i="17"/>
  <c r="O85" i="17"/>
  <c r="P85" i="17"/>
  <c r="S85" i="17"/>
  <c r="N84" i="17"/>
  <c r="O84" i="17"/>
  <c r="P84" i="17"/>
  <c r="S84" i="17"/>
  <c r="P83" i="17"/>
  <c r="O83" i="17"/>
  <c r="N83" i="17"/>
  <c r="S83" i="17"/>
  <c r="S82" i="17"/>
  <c r="P82" i="17"/>
  <c r="O82" i="17"/>
  <c r="N82" i="17"/>
  <c r="S81" i="17"/>
  <c r="O81" i="17"/>
  <c r="N81" i="17"/>
  <c r="P81" i="17"/>
  <c r="P80" i="17"/>
  <c r="O80" i="17"/>
  <c r="S80" i="17"/>
  <c r="N80" i="17"/>
  <c r="S79" i="17"/>
  <c r="P79" i="17"/>
  <c r="O79" i="17"/>
  <c r="N79" i="17"/>
  <c r="P78" i="17"/>
  <c r="S78" i="17"/>
  <c r="O78" i="17"/>
  <c r="N78" i="17"/>
  <c r="P77" i="17"/>
  <c r="S77" i="17"/>
  <c r="N77" i="17"/>
  <c r="O77" i="17"/>
  <c r="P76" i="17"/>
  <c r="N76" i="17"/>
  <c r="S76" i="17"/>
  <c r="O76" i="17"/>
  <c r="S75" i="17"/>
  <c r="P75" i="17"/>
  <c r="O75" i="17"/>
  <c r="N75" i="17"/>
  <c r="S74" i="17"/>
  <c r="P74" i="17"/>
  <c r="O74" i="17"/>
  <c r="N74" i="17"/>
  <c r="N73" i="17"/>
  <c r="S73" i="17"/>
  <c r="O73" i="17"/>
  <c r="P73" i="17"/>
  <c r="O72" i="17"/>
  <c r="P72" i="17"/>
  <c r="N72" i="17"/>
  <c r="S72" i="17"/>
  <c r="P71" i="17"/>
  <c r="N71" i="17"/>
  <c r="O71" i="17"/>
  <c r="S71" i="17"/>
  <c r="O70" i="17"/>
  <c r="P70" i="17"/>
  <c r="N70" i="17"/>
  <c r="S70" i="17"/>
  <c r="S69" i="17"/>
  <c r="N69" i="17"/>
  <c r="P69" i="17"/>
  <c r="O69" i="17"/>
  <c r="N68" i="17"/>
  <c r="O68" i="17"/>
  <c r="S68" i="17"/>
  <c r="P68" i="17"/>
  <c r="G120" i="17"/>
  <c r="X67" i="17"/>
  <c r="W67" i="17"/>
  <c r="F120" i="17"/>
  <c r="E120" i="17"/>
  <c r="V67" i="17"/>
  <c r="D120" i="17"/>
  <c r="U67" i="17"/>
  <c r="T67" i="17"/>
  <c r="C120" i="17"/>
  <c r="P67" i="17"/>
  <c r="O67" i="17"/>
  <c r="N67" i="17"/>
  <c r="B120" i="17"/>
  <c r="S67" i="17"/>
  <c r="O66" i="17"/>
  <c r="S66" i="17"/>
  <c r="P66" i="17"/>
  <c r="N66" i="17"/>
  <c r="O65" i="17"/>
  <c r="S65" i="17"/>
  <c r="N65" i="17"/>
  <c r="P65" i="17"/>
  <c r="P64" i="17"/>
  <c r="N64" i="17"/>
  <c r="S64" i="17"/>
  <c r="O64" i="17"/>
  <c r="X63" i="17"/>
  <c r="U63" i="17"/>
  <c r="V63" i="17"/>
  <c r="W63" i="17"/>
  <c r="S63" i="17"/>
  <c r="T63" i="17"/>
  <c r="P62" i="17"/>
  <c r="O62" i="17"/>
  <c r="N62" i="17"/>
  <c r="S62" i="17"/>
  <c r="P61" i="17"/>
  <c r="O61" i="17"/>
  <c r="N61" i="17"/>
  <c r="S61" i="17"/>
  <c r="P60" i="17"/>
  <c r="O60" i="17"/>
  <c r="N60" i="17"/>
  <c r="S60" i="17"/>
  <c r="S59" i="17"/>
  <c r="P59" i="17"/>
  <c r="N59" i="17"/>
  <c r="O59" i="17"/>
  <c r="S58" i="17"/>
  <c r="P58" i="17"/>
  <c r="O58" i="17"/>
  <c r="N58" i="17"/>
  <c r="S57" i="17"/>
  <c r="P57" i="17"/>
  <c r="O57" i="17"/>
  <c r="N57" i="17"/>
  <c r="S56" i="17"/>
  <c r="P56" i="17"/>
  <c r="O56" i="17"/>
  <c r="N56" i="17"/>
  <c r="S55" i="17"/>
  <c r="N55" i="17"/>
  <c r="O55" i="17"/>
  <c r="P55" i="17"/>
  <c r="P54" i="17"/>
  <c r="O54" i="17"/>
  <c r="N54" i="17"/>
  <c r="S54" i="17"/>
  <c r="N53" i="17"/>
  <c r="O53" i="17"/>
  <c r="P53" i="17"/>
  <c r="S53" i="17"/>
  <c r="P52" i="17"/>
  <c r="S52" i="17"/>
  <c r="O52" i="17"/>
  <c r="N52" i="17"/>
  <c r="O51" i="17"/>
  <c r="N51" i="17"/>
  <c r="P51" i="17"/>
  <c r="S51" i="17"/>
  <c r="N50" i="17"/>
  <c r="O50" i="17"/>
  <c r="P50" i="17"/>
  <c r="S50" i="17"/>
  <c r="S49" i="17"/>
  <c r="P49" i="17"/>
  <c r="O49" i="17"/>
  <c r="N49" i="17"/>
  <c r="S48" i="17"/>
  <c r="N48" i="17"/>
  <c r="P48" i="17"/>
  <c r="O48" i="17"/>
  <c r="O47" i="17"/>
  <c r="P47" i="17"/>
  <c r="S47" i="17"/>
  <c r="N47" i="17"/>
  <c r="S46" i="17"/>
  <c r="O46" i="17"/>
  <c r="N46" i="17"/>
  <c r="P46" i="17"/>
  <c r="S45" i="17"/>
  <c r="N45" i="17"/>
  <c r="O45" i="17"/>
  <c r="P45" i="17"/>
  <c r="N44" i="17"/>
  <c r="O44" i="17"/>
  <c r="P44" i="17"/>
  <c r="S44" i="17"/>
  <c r="N43" i="17"/>
  <c r="P43" i="17"/>
  <c r="S43" i="17"/>
  <c r="O43" i="17"/>
  <c r="P42" i="17"/>
  <c r="N42" i="17"/>
  <c r="S42" i="17"/>
  <c r="O42" i="17"/>
  <c r="N41" i="17"/>
  <c r="O41" i="17"/>
  <c r="P41" i="17"/>
  <c r="S41" i="17"/>
  <c r="O40" i="17"/>
  <c r="N40" i="17"/>
  <c r="P40" i="17"/>
  <c r="S40" i="17"/>
  <c r="N39" i="17"/>
  <c r="P39" i="17"/>
  <c r="O39" i="17"/>
  <c r="S39" i="17"/>
  <c r="S38" i="17"/>
  <c r="P38" i="17"/>
  <c r="N38" i="17"/>
  <c r="O38" i="17"/>
  <c r="O37" i="17"/>
  <c r="P37" i="17"/>
  <c r="S37" i="17"/>
  <c r="N37" i="17"/>
  <c r="P36" i="17"/>
  <c r="O36" i="17"/>
  <c r="S36" i="17"/>
  <c r="N36" i="17"/>
  <c r="P35" i="17"/>
  <c r="N35" i="17"/>
  <c r="S35" i="17"/>
  <c r="S34" i="17"/>
  <c r="T34" i="17"/>
  <c r="P34" i="17"/>
  <c r="V34" i="17"/>
  <c r="O34" i="17"/>
  <c r="U34" i="17"/>
  <c r="N33" i="17"/>
  <c r="O33" i="17"/>
  <c r="P33" i="17"/>
  <c r="S33" i="17"/>
  <c r="N32" i="17"/>
  <c r="O32" i="17"/>
  <c r="P32" i="17"/>
  <c r="S32" i="17"/>
  <c r="O31" i="17"/>
  <c r="P31" i="17"/>
  <c r="N31" i="17"/>
  <c r="S31" i="17"/>
  <c r="S30" i="17"/>
  <c r="P30" i="17"/>
  <c r="O30" i="17"/>
  <c r="N30" i="17"/>
  <c r="P29" i="17"/>
  <c r="O29" i="17"/>
  <c r="N29" i="17"/>
  <c r="S29" i="17"/>
  <c r="S28" i="17"/>
  <c r="P28" i="17"/>
  <c r="O28" i="17"/>
  <c r="N28" i="17"/>
  <c r="T27" i="17"/>
  <c r="C119" i="17"/>
  <c r="O27" i="17"/>
  <c r="P27" i="17"/>
  <c r="N27" i="17"/>
  <c r="S27" i="17"/>
  <c r="S26" i="17"/>
  <c r="P26" i="17"/>
  <c r="O26" i="17"/>
  <c r="N26" i="17"/>
  <c r="S25" i="17"/>
  <c r="P25" i="17"/>
  <c r="O25" i="17"/>
  <c r="N25" i="17"/>
  <c r="P24" i="17"/>
  <c r="S24" i="17"/>
  <c r="N24" i="17"/>
  <c r="O24" i="17"/>
  <c r="N23" i="17"/>
  <c r="O23" i="17"/>
  <c r="P23" i="17"/>
  <c r="S23" i="17"/>
  <c r="P22" i="17"/>
  <c r="O22" i="17"/>
  <c r="N22" i="17"/>
  <c r="S22" i="17"/>
  <c r="G119" i="17"/>
  <c r="X21" i="17"/>
  <c r="M21" i="17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M84" i="17" s="1"/>
  <c r="M85" i="17" s="1"/>
  <c r="M86" i="17" s="1"/>
  <c r="M87" i="17" s="1"/>
  <c r="M88" i="17" s="1"/>
  <c r="M89" i="17" s="1"/>
  <c r="M90" i="17" s="1"/>
  <c r="M91" i="17" s="1"/>
  <c r="M92" i="17" s="1"/>
  <c r="L21" i="17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L84" i="17" s="1"/>
  <c r="L85" i="17" s="1"/>
  <c r="L86" i="17" s="1"/>
  <c r="L87" i="17" s="1"/>
  <c r="L88" i="17" s="1"/>
  <c r="L89" i="17" s="1"/>
  <c r="L90" i="17" s="1"/>
  <c r="L91" i="17" s="1"/>
  <c r="L92" i="17" s="1"/>
  <c r="F119" i="17"/>
  <c r="W21" i="17"/>
  <c r="K21" i="17"/>
  <c r="K22" i="17" s="1"/>
  <c r="K23" i="17" s="1"/>
  <c r="K24" i="17" s="1"/>
  <c r="K25" i="17" s="1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K84" i="17" s="1"/>
  <c r="K85" i="17" s="1"/>
  <c r="K86" i="17" s="1"/>
  <c r="K87" i="17" s="1"/>
  <c r="K88" i="17" s="1"/>
  <c r="K89" i="17" s="1"/>
  <c r="K90" i="17" s="1"/>
  <c r="K91" i="17" s="1"/>
  <c r="K92" i="17" s="1"/>
  <c r="K93" i="17" s="1"/>
  <c r="K94" i="17" s="1"/>
  <c r="K95" i="17" s="1"/>
  <c r="K96" i="17" s="1"/>
  <c r="K97" i="17" s="1"/>
  <c r="K98" i="17" s="1"/>
  <c r="K99" i="17" s="1"/>
  <c r="K100" i="17" s="1"/>
  <c r="K101" i="17" s="1"/>
  <c r="K102" i="17" s="1"/>
  <c r="K103" i="17" s="1"/>
  <c r="K104" i="17" s="1"/>
  <c r="K105" i="17" s="1"/>
  <c r="K106" i="17" s="1"/>
  <c r="K107" i="17" s="1"/>
  <c r="K108" i="17" s="1"/>
  <c r="K109" i="17" s="1"/>
  <c r="K110" i="17" s="1"/>
  <c r="K111" i="17" s="1"/>
  <c r="K112" i="17" s="1"/>
  <c r="K113" i="17" s="1"/>
  <c r="K114" i="17" s="1"/>
  <c r="K115" i="17" s="1"/>
  <c r="K116" i="17" s="1"/>
  <c r="V21" i="17"/>
  <c r="E119" i="17"/>
  <c r="J21" i="17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J84" i="17" s="1"/>
  <c r="J85" i="17" s="1"/>
  <c r="J86" i="17" s="1"/>
  <c r="J87" i="17" s="1"/>
  <c r="J88" i="17" s="1"/>
  <c r="J89" i="17" s="1"/>
  <c r="J90" i="17" s="1"/>
  <c r="J91" i="17" s="1"/>
  <c r="J92" i="17" s="1"/>
  <c r="U21" i="17"/>
  <c r="D119" i="17"/>
  <c r="C6" i="9" s="1"/>
  <c r="S21" i="17"/>
  <c r="B119" i="17"/>
  <c r="C7" i="9" s="1"/>
  <c r="N21" i="17"/>
  <c r="H21" i="17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P21" i="17"/>
  <c r="O21" i="17"/>
  <c r="I81" i="14"/>
  <c r="E176" i="4"/>
  <c r="E34" i="10" s="1"/>
  <c r="E45" i="10" s="1"/>
  <c r="I65" i="14"/>
  <c r="G176" i="4"/>
  <c r="G34" i="10" s="1"/>
  <c r="G45" i="10" s="1"/>
  <c r="N174" i="4"/>
  <c r="G203" i="4"/>
  <c r="G68" i="10" s="1"/>
  <c r="I34" i="14"/>
  <c r="G196" i="4"/>
  <c r="G63" i="10" s="1"/>
  <c r="I29" i="14"/>
  <c r="I72" i="14"/>
  <c r="I40" i="14"/>
  <c r="I36" i="14"/>
  <c r="I33" i="14"/>
  <c r="I32" i="14"/>
  <c r="I69" i="14"/>
  <c r="I79" i="14"/>
  <c r="I71" i="14"/>
  <c r="I30" i="14"/>
  <c r="I68" i="14"/>
  <c r="I28" i="14"/>
  <c r="E277" i="10"/>
  <c r="E310" i="10" s="1"/>
  <c r="J208" i="4"/>
  <c r="F176" i="4"/>
  <c r="G77" i="14"/>
  <c r="I77" i="14" s="1"/>
  <c r="G35" i="14"/>
  <c r="G52" i="14"/>
  <c r="F35" i="14"/>
  <c r="F52" i="14"/>
  <c r="E35" i="14"/>
  <c r="E52" i="14"/>
  <c r="D35" i="14"/>
  <c r="D52" i="14"/>
  <c r="G31" i="14"/>
  <c r="G51" i="14"/>
  <c r="G49" i="14"/>
  <c r="F31" i="14"/>
  <c r="F198" i="4" s="1"/>
  <c r="F51" i="14"/>
  <c r="F49" i="14"/>
  <c r="E31" i="14"/>
  <c r="E198" i="4" s="1"/>
  <c r="E51" i="14"/>
  <c r="E49" i="14"/>
  <c r="D31" i="14"/>
  <c r="D51" i="14"/>
  <c r="D49" i="14"/>
  <c r="G7" i="14"/>
  <c r="G60" i="14"/>
  <c r="G50" i="14"/>
  <c r="I6" i="14"/>
  <c r="F60" i="14"/>
  <c r="F62" i="14" s="1"/>
  <c r="F50" i="14"/>
  <c r="F7" i="14"/>
  <c r="E60" i="14"/>
  <c r="E62" i="14" s="1"/>
  <c r="E50" i="14"/>
  <c r="D50" i="14"/>
  <c r="I13" i="14"/>
  <c r="I12" i="14"/>
  <c r="I8" i="14"/>
  <c r="I14" i="14"/>
  <c r="I9" i="14"/>
  <c r="I5" i="14"/>
  <c r="N89" i="4"/>
  <c r="D114" i="10"/>
  <c r="C52" i="13"/>
  <c r="C7" i="4"/>
  <c r="E7" i="13"/>
  <c r="B7" i="4"/>
  <c r="C7" i="13"/>
  <c r="B6" i="4"/>
  <c r="C6" i="13"/>
  <c r="D3" i="10"/>
  <c r="B3" i="10"/>
  <c r="C3" i="13"/>
  <c r="D7" i="10"/>
  <c r="C7" i="12"/>
  <c r="B7" i="10"/>
  <c r="B7" i="12"/>
  <c r="B6" i="10"/>
  <c r="B6" i="12"/>
  <c r="F63" i="11" a="1"/>
  <c r="F63" i="11" s="1"/>
  <c r="F61" i="11" a="1"/>
  <c r="F61" i="11" s="1"/>
  <c r="F55" i="11" a="1"/>
  <c r="F55" i="11" s="1"/>
  <c r="D3" i="2"/>
  <c r="G3" i="13" s="1"/>
  <c r="D3" i="11"/>
  <c r="C71" i="11"/>
  <c r="C86" i="11"/>
  <c r="AR26" i="8"/>
  <c r="G330" i="10"/>
  <c r="G243" i="10"/>
  <c r="F250" i="10"/>
  <c r="G224" i="10"/>
  <c r="F232" i="10"/>
  <c r="F139" i="10"/>
  <c r="F112" i="10"/>
  <c r="C95" i="10"/>
  <c r="C48" i="13" s="1"/>
  <c r="D50" i="10"/>
  <c r="J31" i="10"/>
  <c r="J49" i="10" s="1"/>
  <c r="B331" i="4"/>
  <c r="O289" i="4"/>
  <c r="D54" i="2"/>
  <c r="P325" i="4"/>
  <c r="P301" i="4"/>
  <c r="O305" i="4"/>
  <c r="N305" i="4" s="1"/>
  <c r="G15" i="3"/>
  <c r="O28" i="4"/>
  <c r="O103" i="4" s="1"/>
  <c r="M10" i="3"/>
  <c r="U27" i="4"/>
  <c r="N15" i="5"/>
  <c r="M14" i="5"/>
  <c r="T26" i="4"/>
  <c r="S26" i="4"/>
  <c r="L14" i="5"/>
  <c r="K14" i="5"/>
  <c r="R26" i="4"/>
  <c r="Q26" i="4"/>
  <c r="J14" i="5"/>
  <c r="N13" i="5"/>
  <c r="U25" i="4"/>
  <c r="L7" i="3"/>
  <c r="M12" i="5"/>
  <c r="T24" i="4"/>
  <c r="M6" i="3"/>
  <c r="U23" i="4"/>
  <c r="N11" i="5"/>
  <c r="N23" i="5" s="1"/>
  <c r="N40" i="5" s="1"/>
  <c r="L5" i="3"/>
  <c r="T22" i="4"/>
  <c r="M10" i="5"/>
  <c r="P68" i="4"/>
  <c r="Q68" i="4" s="1"/>
  <c r="O72" i="4"/>
  <c r="P67" i="4"/>
  <c r="AR27" i="8"/>
  <c r="G24" i="8"/>
  <c r="M24" i="8"/>
  <c r="AR25" i="8"/>
  <c r="AR24" i="8"/>
  <c r="E25" i="8"/>
  <c r="G25" i="8"/>
  <c r="G23" i="8"/>
  <c r="M23" i="8"/>
  <c r="M22" i="8"/>
  <c r="G22" i="8"/>
  <c r="M21" i="8"/>
  <c r="G21" i="8"/>
  <c r="M20" i="8"/>
  <c r="G20" i="8"/>
  <c r="AR22" i="8"/>
  <c r="AR21" i="8"/>
  <c r="AR23" i="8"/>
  <c r="AR20" i="8"/>
  <c r="G2" i="5"/>
  <c r="F5" i="5"/>
  <c r="F6" i="5" s="1"/>
  <c r="G17" i="4"/>
  <c r="M8" i="3"/>
  <c r="L9" i="3"/>
  <c r="U143" i="4" s="1"/>
  <c r="D53" i="14" l="1"/>
  <c r="I49" i="14"/>
  <c r="D31" i="2" s="1"/>
  <c r="I50" i="14"/>
  <c r="D33" i="2" s="1"/>
  <c r="B551" i="4"/>
  <c r="C188" i="10" s="1"/>
  <c r="C156" i="10"/>
  <c r="C157" i="10"/>
  <c r="B552" i="4"/>
  <c r="C189" i="10" s="1"/>
  <c r="B553" i="4"/>
  <c r="C190" i="10" s="1"/>
  <c r="C158" i="10"/>
  <c r="Q144" i="4"/>
  <c r="P145" i="4"/>
  <c r="P60" i="4"/>
  <c r="Q60" i="4" s="1"/>
  <c r="M213" i="4"/>
  <c r="I51" i="14"/>
  <c r="I52" i="14"/>
  <c r="Q346" i="4"/>
  <c r="E49" i="10"/>
  <c r="E61" i="10"/>
  <c r="E80" i="10" s="1"/>
  <c r="N84" i="4"/>
  <c r="O84" i="4" s="1"/>
  <c r="P84" i="4" s="1"/>
  <c r="Q84" i="4" s="1"/>
  <c r="R84" i="4" s="1"/>
  <c r="S84" i="4" s="1"/>
  <c r="T84" i="4" s="1"/>
  <c r="U84" i="4" s="1"/>
  <c r="V84" i="4" s="1"/>
  <c r="W84" i="4" s="1"/>
  <c r="X84" i="4" s="1"/>
  <c r="O170" i="4"/>
  <c r="P170" i="4" s="1"/>
  <c r="Q170" i="4" s="1"/>
  <c r="R170" i="4" s="1"/>
  <c r="S170" i="4" s="1"/>
  <c r="T170" i="4" s="1"/>
  <c r="U170" i="4" s="1"/>
  <c r="V170" i="4" s="1"/>
  <c r="W170" i="4" s="1"/>
  <c r="X170" i="4" s="1"/>
  <c r="F170" i="4"/>
  <c r="E170" i="4" s="1"/>
  <c r="E23" i="13"/>
  <c r="E24" i="13" s="1"/>
  <c r="E20" i="13"/>
  <c r="V16" i="13"/>
  <c r="V30" i="13" s="1"/>
  <c r="K16" i="13"/>
  <c r="K54" i="13" s="1"/>
  <c r="G18" i="13"/>
  <c r="S20" i="13" s="1"/>
  <c r="R20" i="13" s="1"/>
  <c r="Q20" i="13" s="1"/>
  <c r="S17" i="13"/>
  <c r="S19" i="13" s="1"/>
  <c r="L122" i="17"/>
  <c r="S122" i="17"/>
  <c r="M122" i="17"/>
  <c r="X121" i="17"/>
  <c r="W121" i="17"/>
  <c r="V121" i="17"/>
  <c r="U121" i="17"/>
  <c r="T121" i="17"/>
  <c r="M121" i="17"/>
  <c r="L121" i="17"/>
  <c r="S121" i="17"/>
  <c r="V120" i="17"/>
  <c r="W120" i="17"/>
  <c r="G73" i="14"/>
  <c r="L44" i="8"/>
  <c r="M44" i="8"/>
  <c r="I93" i="17"/>
  <c r="I94" i="17" s="1"/>
  <c r="I95" i="17" s="1"/>
  <c r="I96" i="17" s="1"/>
  <c r="I97" i="17" s="1"/>
  <c r="I98" i="17" s="1"/>
  <c r="I99" i="17" s="1"/>
  <c r="I100" i="17" s="1"/>
  <c r="I101" i="17" s="1"/>
  <c r="I102" i="17" s="1"/>
  <c r="I103" i="17" s="1"/>
  <c r="I104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4" i="17" s="1"/>
  <c r="I115" i="17" s="1"/>
  <c r="I116" i="17" s="1"/>
  <c r="D13" i="17"/>
  <c r="F190" i="4"/>
  <c r="F34" i="10"/>
  <c r="F45" i="10" s="1"/>
  <c r="F202" i="4"/>
  <c r="F65" i="10"/>
  <c r="F67" i="10" s="1"/>
  <c r="E202" i="4"/>
  <c r="E65" i="10"/>
  <c r="E67" i="10" s="1"/>
  <c r="O68" i="8"/>
  <c r="N68" i="8"/>
  <c r="O69" i="8"/>
  <c r="N69" i="8"/>
  <c r="N70" i="8"/>
  <c r="O70" i="8"/>
  <c r="O71" i="8"/>
  <c r="N71" i="8"/>
  <c r="O72" i="8"/>
  <c r="N72" i="8"/>
  <c r="O73" i="8"/>
  <c r="N73" i="8"/>
  <c r="L68" i="8"/>
  <c r="M68" i="8"/>
  <c r="L70" i="8"/>
  <c r="M70" i="8"/>
  <c r="L71" i="8"/>
  <c r="M71" i="8"/>
  <c r="L72" i="8"/>
  <c r="M72" i="8"/>
  <c r="N45" i="8"/>
  <c r="O45" i="8"/>
  <c r="O46" i="8"/>
  <c r="N46" i="8"/>
  <c r="M46" i="8"/>
  <c r="L46" i="8"/>
  <c r="N47" i="8"/>
  <c r="O47" i="8"/>
  <c r="O48" i="8"/>
  <c r="N48" i="8"/>
  <c r="O49" i="8"/>
  <c r="N49" i="8"/>
  <c r="L45" i="8"/>
  <c r="M45" i="8"/>
  <c r="L47" i="8"/>
  <c r="M47" i="8"/>
  <c r="L48" i="8"/>
  <c r="M48" i="8"/>
  <c r="L49" i="8"/>
  <c r="M49" i="8"/>
  <c r="E190" i="4"/>
  <c r="E178" i="4"/>
  <c r="T120" i="17"/>
  <c r="U120" i="17"/>
  <c r="S120" i="17"/>
  <c r="L120" i="17"/>
  <c r="M120" i="17"/>
  <c r="C10" i="9"/>
  <c r="J122" i="17"/>
  <c r="K122" i="17"/>
  <c r="J121" i="17"/>
  <c r="K121" i="17"/>
  <c r="M93" i="17"/>
  <c r="M94" i="17" s="1"/>
  <c r="M95" i="17" s="1"/>
  <c r="M96" i="17" s="1"/>
  <c r="M97" i="17" s="1"/>
  <c r="M98" i="17" s="1"/>
  <c r="M99" i="17" s="1"/>
  <c r="M100" i="17" s="1"/>
  <c r="M101" i="17" s="1"/>
  <c r="M102" i="17" s="1"/>
  <c r="M103" i="17" s="1"/>
  <c r="M104" i="17" s="1"/>
  <c r="M105" i="17" s="1"/>
  <c r="M106" i="17" s="1"/>
  <c r="M107" i="17" s="1"/>
  <c r="M108" i="17" s="1"/>
  <c r="M109" i="17" s="1"/>
  <c r="M110" i="17" s="1"/>
  <c r="M111" i="17" s="1"/>
  <c r="M112" i="17" s="1"/>
  <c r="M113" i="17" s="1"/>
  <c r="M114" i="17" s="1"/>
  <c r="M115" i="17" s="1"/>
  <c r="M116" i="17" s="1"/>
  <c r="D16" i="17"/>
  <c r="D15" i="17"/>
  <c r="L93" i="17"/>
  <c r="L94" i="17" s="1"/>
  <c r="L95" i="17" s="1"/>
  <c r="L96" i="17" s="1"/>
  <c r="L97" i="17" s="1"/>
  <c r="L98" i="17" s="1"/>
  <c r="L99" i="17" s="1"/>
  <c r="L100" i="17" s="1"/>
  <c r="L101" i="17" s="1"/>
  <c r="L102" i="17" s="1"/>
  <c r="L103" i="17" s="1"/>
  <c r="L104" i="17" s="1"/>
  <c r="L105" i="17" s="1"/>
  <c r="L106" i="17" s="1"/>
  <c r="L107" i="17" s="1"/>
  <c r="L108" i="17" s="1"/>
  <c r="L109" i="17" s="1"/>
  <c r="L110" i="17" s="1"/>
  <c r="L111" i="17" s="1"/>
  <c r="L112" i="17" s="1"/>
  <c r="L113" i="17" s="1"/>
  <c r="L114" i="17" s="1"/>
  <c r="L115" i="17" s="1"/>
  <c r="L116" i="17" s="1"/>
  <c r="E125" i="17"/>
  <c r="E124" i="17"/>
  <c r="E126" i="17"/>
  <c r="D14" i="17"/>
  <c r="J93" i="17"/>
  <c r="J94" i="17" s="1"/>
  <c r="J95" i="17" s="1"/>
  <c r="J96" i="17" s="1"/>
  <c r="J97" i="17" s="1"/>
  <c r="J98" i="17" s="1"/>
  <c r="J99" i="17" s="1"/>
  <c r="J100" i="17" s="1"/>
  <c r="J101" i="17" s="1"/>
  <c r="J102" i="17" s="1"/>
  <c r="J103" i="17" s="1"/>
  <c r="J104" i="17" s="1"/>
  <c r="J105" i="17" s="1"/>
  <c r="J106" i="17" s="1"/>
  <c r="J107" i="17" s="1"/>
  <c r="J108" i="17" s="1"/>
  <c r="J109" i="17" s="1"/>
  <c r="J110" i="17" s="1"/>
  <c r="J111" i="17" s="1"/>
  <c r="J112" i="17" s="1"/>
  <c r="J113" i="17" s="1"/>
  <c r="J114" i="17" s="1"/>
  <c r="J115" i="17" s="1"/>
  <c r="J116" i="17" s="1"/>
  <c r="J120" i="17"/>
  <c r="K120" i="17"/>
  <c r="Q53" i="17"/>
  <c r="H54" i="17"/>
  <c r="X120" i="17"/>
  <c r="F53" i="14"/>
  <c r="E53" i="14"/>
  <c r="F204" i="4"/>
  <c r="F73" i="14"/>
  <c r="E204" i="4"/>
  <c r="E73" i="14"/>
  <c r="O71" i="4"/>
  <c r="O73" i="4" s="1"/>
  <c r="O76" i="4"/>
  <c r="N78" i="4"/>
  <c r="N80" i="4" s="1"/>
  <c r="N203" i="4"/>
  <c r="G190" i="4"/>
  <c r="N176" i="4"/>
  <c r="N196" i="4"/>
  <c r="G204" i="4"/>
  <c r="I35" i="14"/>
  <c r="G198" i="4"/>
  <c r="G65" i="10" s="1"/>
  <c r="G67" i="10" s="1"/>
  <c r="I31" i="14"/>
  <c r="G62" i="14"/>
  <c r="I62" i="14" s="1"/>
  <c r="I60" i="14"/>
  <c r="N177" i="4"/>
  <c r="G178" i="4"/>
  <c r="F19" i="13"/>
  <c r="J67" i="13" s="1"/>
  <c r="F178" i="4"/>
  <c r="G53" i="14"/>
  <c r="F54" i="14"/>
  <c r="F63" i="14" s="1"/>
  <c r="G10" i="14"/>
  <c r="G20" i="14"/>
  <c r="I7" i="14"/>
  <c r="F10" i="14"/>
  <c r="F20" i="14"/>
  <c r="E10" i="14"/>
  <c r="E20" i="14"/>
  <c r="D10" i="14"/>
  <c r="D20" i="14"/>
  <c r="E3" i="10"/>
  <c r="F16" i="11"/>
  <c r="D3" i="4"/>
  <c r="H330" i="10"/>
  <c r="G250" i="10"/>
  <c r="H243" i="10"/>
  <c r="G232" i="10"/>
  <c r="H224" i="10"/>
  <c r="D113" i="10"/>
  <c r="C229" i="10"/>
  <c r="D234" i="10" s="1"/>
  <c r="G139" i="10"/>
  <c r="G112" i="10"/>
  <c r="K31" i="10"/>
  <c r="K49" i="10" s="1"/>
  <c r="G18" i="4"/>
  <c r="H17" i="4"/>
  <c r="O290" i="4"/>
  <c r="P289" i="4"/>
  <c r="Q325" i="4"/>
  <c r="P305" i="4"/>
  <c r="Q301" i="4"/>
  <c r="P28" i="4"/>
  <c r="P103" i="4" s="1"/>
  <c r="H15" i="3"/>
  <c r="O15" i="5"/>
  <c r="V27" i="4"/>
  <c r="N10" i="3"/>
  <c r="N12" i="5"/>
  <c r="U24" i="4"/>
  <c r="M7" i="3"/>
  <c r="V23" i="4"/>
  <c r="O11" i="5"/>
  <c r="O23" i="5" s="1"/>
  <c r="O40" i="5" s="1"/>
  <c r="N6" i="3"/>
  <c r="N10" i="5"/>
  <c r="U22" i="4"/>
  <c r="M5" i="3"/>
  <c r="V25" i="4"/>
  <c r="O13" i="5"/>
  <c r="U26" i="4"/>
  <c r="N14" i="5"/>
  <c r="Q67" i="4"/>
  <c r="R68" i="4"/>
  <c r="S68" i="4" s="1"/>
  <c r="T68" i="4" s="1"/>
  <c r="U68" i="4" s="1"/>
  <c r="V68" i="4" s="1"/>
  <c r="W68" i="4" s="1"/>
  <c r="X68" i="4" s="1"/>
  <c r="O24" i="8"/>
  <c r="N24" i="8"/>
  <c r="O25" i="8"/>
  <c r="N25" i="8"/>
  <c r="O23" i="8"/>
  <c r="N23" i="8"/>
  <c r="O22" i="8"/>
  <c r="N22" i="8"/>
  <c r="O21" i="8"/>
  <c r="N21" i="8"/>
  <c r="O20" i="8"/>
  <c r="N20" i="8"/>
  <c r="L25" i="8"/>
  <c r="M25" i="8"/>
  <c r="G5" i="5"/>
  <c r="G6" i="5" s="1"/>
  <c r="H2" i="5"/>
  <c r="N17" i="4"/>
  <c r="N18" i="4" s="1"/>
  <c r="O14" i="4"/>
  <c r="O338" i="4" s="1"/>
  <c r="E132" i="10" s="1"/>
  <c r="M9" i="3"/>
  <c r="V143" i="4" s="1"/>
  <c r="N8" i="3"/>
  <c r="I73" i="14" l="1"/>
  <c r="E54" i="14"/>
  <c r="E63" i="14" s="1"/>
  <c r="Q145" i="4"/>
  <c r="R144" i="4"/>
  <c r="E25" i="10"/>
  <c r="D45" i="2"/>
  <c r="I20" i="14"/>
  <c r="D18" i="2" s="1"/>
  <c r="G46" i="12" s="1"/>
  <c r="F62" i="11" s="1" a="1"/>
  <c r="F62" i="11" s="1"/>
  <c r="R346" i="4"/>
  <c r="L54" i="11"/>
  <c r="P54" i="11"/>
  <c r="O54" i="11"/>
  <c r="Q54" i="11"/>
  <c r="R54" i="11"/>
  <c r="S54" i="11"/>
  <c r="M54" i="11"/>
  <c r="N54" i="11"/>
  <c r="K55" i="11"/>
  <c r="W16" i="13"/>
  <c r="W30" i="13" s="1"/>
  <c r="L16" i="13"/>
  <c r="L54" i="13" s="1"/>
  <c r="C125" i="17"/>
  <c r="C126" i="17"/>
  <c r="C124" i="17"/>
  <c r="D26" i="13"/>
  <c r="Q31" i="13" s="1"/>
  <c r="E36" i="10"/>
  <c r="F207" i="4"/>
  <c r="F69" i="10"/>
  <c r="E207" i="4"/>
  <c r="E69" i="10"/>
  <c r="G207" i="4"/>
  <c r="G69" i="10"/>
  <c r="G191" i="4"/>
  <c r="G36" i="10"/>
  <c r="E26" i="13"/>
  <c r="R31" i="13" s="1"/>
  <c r="F36" i="10"/>
  <c r="G54" i="14"/>
  <c r="G63" i="14" s="1"/>
  <c r="I63" i="14" s="1"/>
  <c r="I53" i="14"/>
  <c r="G19" i="13"/>
  <c r="F23" i="13"/>
  <c r="E191" i="4"/>
  <c r="E180" i="4"/>
  <c r="G125" i="17"/>
  <c r="G126" i="17"/>
  <c r="G124" i="17"/>
  <c r="F124" i="17"/>
  <c r="F126" i="17"/>
  <c r="F125" i="17"/>
  <c r="D124" i="17"/>
  <c r="D125" i="17"/>
  <c r="D126" i="17"/>
  <c r="Q54" i="17"/>
  <c r="H55" i="17"/>
  <c r="P71" i="4"/>
  <c r="P76" i="4"/>
  <c r="N92" i="4"/>
  <c r="N93" i="4" s="1"/>
  <c r="N96" i="4" s="1"/>
  <c r="N88" i="4"/>
  <c r="N90" i="4" s="1"/>
  <c r="N95" i="4" s="1"/>
  <c r="K204" i="4"/>
  <c r="E276" i="10"/>
  <c r="E309" i="10" s="1"/>
  <c r="H31" i="5"/>
  <c r="N198" i="4"/>
  <c r="O198" i="4" s="1"/>
  <c r="P198" i="4" s="1"/>
  <c r="Q198" i="4" s="1"/>
  <c r="R198" i="4" s="1"/>
  <c r="S198" i="4" s="1"/>
  <c r="T198" i="4" s="1"/>
  <c r="G202" i="4"/>
  <c r="F180" i="4"/>
  <c r="F191" i="4"/>
  <c r="G180" i="4"/>
  <c r="G38" i="10" s="1"/>
  <c r="G41" i="10" s="1"/>
  <c r="N178" i="4"/>
  <c r="F20" i="13"/>
  <c r="G43" i="14"/>
  <c r="G15" i="14"/>
  <c r="G22" i="14"/>
  <c r="I10" i="14"/>
  <c r="F43" i="14"/>
  <c r="F15" i="14"/>
  <c r="F22" i="14"/>
  <c r="E43" i="14"/>
  <c r="E15" i="14"/>
  <c r="E22" i="14"/>
  <c r="D43" i="14"/>
  <c r="D15" i="14"/>
  <c r="D22" i="14"/>
  <c r="P40" i="11"/>
  <c r="P41" i="11" s="1"/>
  <c r="P81" i="11" s="1"/>
  <c r="S40" i="11"/>
  <c r="S41" i="11" s="1"/>
  <c r="S81" i="11" s="1"/>
  <c r="L40" i="11"/>
  <c r="L41" i="11" s="1"/>
  <c r="L81" i="11" s="1"/>
  <c r="N48" i="11"/>
  <c r="N49" i="11" s="1"/>
  <c r="N70" i="11" s="1"/>
  <c r="R48" i="11"/>
  <c r="R49" i="11" s="1"/>
  <c r="R70" i="11" s="1"/>
  <c r="S31" i="11"/>
  <c r="S32" i="11" s="1"/>
  <c r="S76" i="11" s="1"/>
  <c r="K40" i="11"/>
  <c r="K41" i="11" s="1"/>
  <c r="M40" i="11"/>
  <c r="M41" i="11" s="1"/>
  <c r="M81" i="11" s="1"/>
  <c r="O40" i="11"/>
  <c r="O41" i="11" s="1"/>
  <c r="O81" i="11" s="1"/>
  <c r="M31" i="11"/>
  <c r="M32" i="11" s="1"/>
  <c r="M76" i="11" s="1"/>
  <c r="N40" i="11"/>
  <c r="N41" i="11" s="1"/>
  <c r="N81" i="11" s="1"/>
  <c r="J48" i="11"/>
  <c r="J49" i="11" s="1"/>
  <c r="L48" i="11"/>
  <c r="L49" i="11" s="1"/>
  <c r="L70" i="11" s="1"/>
  <c r="M48" i="11"/>
  <c r="M49" i="11" s="1"/>
  <c r="M70" i="11" s="1"/>
  <c r="O48" i="11"/>
  <c r="O49" i="11" s="1"/>
  <c r="O70" i="11" s="1"/>
  <c r="P48" i="11"/>
  <c r="P49" i="11" s="1"/>
  <c r="P70" i="11" s="1"/>
  <c r="Q48" i="11"/>
  <c r="Q49" i="11" s="1"/>
  <c r="Q70" i="11" s="1"/>
  <c r="S48" i="11"/>
  <c r="S49" i="11" s="1"/>
  <c r="S70" i="11" s="1"/>
  <c r="J23" i="11"/>
  <c r="J24" i="11" s="1"/>
  <c r="K23" i="11"/>
  <c r="K24" i="11" s="1"/>
  <c r="K75" i="11" s="1"/>
  <c r="N23" i="11"/>
  <c r="N24" i="11" s="1"/>
  <c r="N75" i="11" s="1"/>
  <c r="O23" i="11"/>
  <c r="O24" i="11" s="1"/>
  <c r="O75" i="11" s="1"/>
  <c r="P23" i="11"/>
  <c r="P24" i="11" s="1"/>
  <c r="P75" i="11" s="1"/>
  <c r="Q23" i="11"/>
  <c r="Q24" i="11" s="1"/>
  <c r="Q75" i="11" s="1"/>
  <c r="R23" i="11"/>
  <c r="R24" i="11" s="1"/>
  <c r="R75" i="11" s="1"/>
  <c r="S23" i="11"/>
  <c r="S24" i="11" s="1"/>
  <c r="S75" i="11" s="1"/>
  <c r="J31" i="11"/>
  <c r="J32" i="11" s="1"/>
  <c r="K31" i="11"/>
  <c r="K32" i="11" s="1"/>
  <c r="K76" i="11" s="1"/>
  <c r="L31" i="11"/>
  <c r="L32" i="11" s="1"/>
  <c r="L76" i="11" s="1"/>
  <c r="N31" i="11"/>
  <c r="N32" i="11" s="1"/>
  <c r="N76" i="11" s="1"/>
  <c r="O31" i="11"/>
  <c r="O32" i="11" s="1"/>
  <c r="O76" i="11" s="1"/>
  <c r="P31" i="11"/>
  <c r="P32" i="11" s="1"/>
  <c r="P76" i="11" s="1"/>
  <c r="Q31" i="11"/>
  <c r="Q32" i="11" s="1"/>
  <c r="Q76" i="11" s="1"/>
  <c r="J40" i="11"/>
  <c r="J41" i="11" s="1"/>
  <c r="J81" i="11" s="1"/>
  <c r="R40" i="11"/>
  <c r="R41" i="11" s="1"/>
  <c r="R81" i="11" s="1"/>
  <c r="J56" i="11"/>
  <c r="R31" i="11"/>
  <c r="R32" i="11" s="1"/>
  <c r="R76" i="11" s="1"/>
  <c r="K48" i="11"/>
  <c r="K49" i="11" s="1"/>
  <c r="K70" i="11" s="1"/>
  <c r="Q40" i="11"/>
  <c r="Q41" i="11" s="1"/>
  <c r="Q81" i="11" s="1"/>
  <c r="L23" i="11"/>
  <c r="L24" i="11" s="1"/>
  <c r="L75" i="11" s="1"/>
  <c r="M23" i="11"/>
  <c r="M24" i="11" s="1"/>
  <c r="M75" i="11" s="1"/>
  <c r="I330" i="10"/>
  <c r="H250" i="10"/>
  <c r="I243" i="10"/>
  <c r="H232" i="10"/>
  <c r="I224" i="10"/>
  <c r="H139" i="10"/>
  <c r="H112" i="10"/>
  <c r="L31" i="10"/>
  <c r="L49" i="10" s="1"/>
  <c r="O319" i="4"/>
  <c r="O318" i="4"/>
  <c r="O317" i="4"/>
  <c r="O316" i="4"/>
  <c r="O315" i="4"/>
  <c r="I17" i="4"/>
  <c r="J17" i="4" s="1"/>
  <c r="H18" i="4"/>
  <c r="O326" i="4"/>
  <c r="H57" i="5" s="1"/>
  <c r="Q289" i="4"/>
  <c r="P290" i="4"/>
  <c r="R325" i="4"/>
  <c r="O79" i="4"/>
  <c r="O179" i="4"/>
  <c r="Q305" i="4"/>
  <c r="R301" i="4"/>
  <c r="Q28" i="4"/>
  <c r="Q103" i="4" s="1"/>
  <c r="I15" i="3"/>
  <c r="W27" i="4"/>
  <c r="P15" i="5"/>
  <c r="O10" i="3"/>
  <c r="V24" i="4"/>
  <c r="O12" i="5"/>
  <c r="N7" i="3"/>
  <c r="P11" i="5"/>
  <c r="P23" i="5" s="1"/>
  <c r="P40" i="5" s="1"/>
  <c r="W23" i="4"/>
  <c r="O6" i="3"/>
  <c r="O10" i="5"/>
  <c r="V22" i="4"/>
  <c r="N5" i="3"/>
  <c r="O265" i="4"/>
  <c r="O264" i="4"/>
  <c r="V26" i="4"/>
  <c r="O14" i="5"/>
  <c r="P13" i="5"/>
  <c r="W25" i="4"/>
  <c r="R67" i="4"/>
  <c r="R60" i="4"/>
  <c r="H5" i="5"/>
  <c r="H6" i="5" s="1"/>
  <c r="I2" i="5"/>
  <c r="O17" i="4"/>
  <c r="O18" i="4" s="1"/>
  <c r="P14" i="4"/>
  <c r="N9" i="3"/>
  <c r="W143" i="4" s="1"/>
  <c r="O8" i="3"/>
  <c r="I22" i="14" l="1"/>
  <c r="R145" i="4"/>
  <c r="S144" i="4"/>
  <c r="K195" i="4"/>
  <c r="K202" i="4" s="1"/>
  <c r="K207" i="4"/>
  <c r="D68" i="13"/>
  <c r="N97" i="4"/>
  <c r="S346" i="4"/>
  <c r="L55" i="11"/>
  <c r="M55" i="11" s="1"/>
  <c r="N55" i="11" s="1"/>
  <c r="O55" i="11" s="1"/>
  <c r="P55" i="11" s="1"/>
  <c r="Q55" i="11" s="1"/>
  <c r="R55" i="11" s="1"/>
  <c r="S55" i="11" s="1"/>
  <c r="G23" i="13"/>
  <c r="F24" i="13"/>
  <c r="X16" i="13"/>
  <c r="X30" i="13" s="1"/>
  <c r="E46" i="10"/>
  <c r="E51" i="10" s="1"/>
  <c r="E50" i="10"/>
  <c r="E78" i="10"/>
  <c r="E82" i="10" s="1"/>
  <c r="F71" i="10"/>
  <c r="F81" i="10"/>
  <c r="E71" i="10"/>
  <c r="E81" i="10"/>
  <c r="G71" i="10"/>
  <c r="G81" i="10"/>
  <c r="G78" i="10"/>
  <c r="G82" i="10" s="1"/>
  <c r="G46" i="10"/>
  <c r="G51" i="10" s="1"/>
  <c r="G50" i="10"/>
  <c r="F46" i="10"/>
  <c r="F51" i="10" s="1"/>
  <c r="F50" i="10"/>
  <c r="F78" i="10"/>
  <c r="F82" i="10" s="1"/>
  <c r="E185" i="4"/>
  <c r="E38" i="10"/>
  <c r="E41" i="10" s="1"/>
  <c r="F185" i="4"/>
  <c r="F38" i="10"/>
  <c r="F41" i="10" s="1"/>
  <c r="F26" i="13"/>
  <c r="Q55" i="17"/>
  <c r="H56" i="17"/>
  <c r="Q71" i="4"/>
  <c r="Q76" i="4"/>
  <c r="N180" i="4"/>
  <c r="G185" i="4"/>
  <c r="I15" i="14"/>
  <c r="G16" i="14"/>
  <c r="G186" i="4" s="1"/>
  <c r="F16" i="14"/>
  <c r="F186" i="4" s="1"/>
  <c r="E16" i="14"/>
  <c r="E186" i="4" s="1"/>
  <c r="D16" i="14"/>
  <c r="D17" i="14" s="1"/>
  <c r="K81" i="11"/>
  <c r="I41" i="11"/>
  <c r="J75" i="11"/>
  <c r="I24" i="11"/>
  <c r="J76" i="11"/>
  <c r="I32" i="11"/>
  <c r="J62" i="11"/>
  <c r="J63" i="11"/>
  <c r="J82" i="11" s="1"/>
  <c r="J83" i="11" s="1"/>
  <c r="J61" i="11"/>
  <c r="K56" i="11"/>
  <c r="I49" i="11"/>
  <c r="J70" i="11"/>
  <c r="H37" i="10"/>
  <c r="J131" i="11"/>
  <c r="J95" i="11" s="1"/>
  <c r="J330" i="10"/>
  <c r="I250" i="10"/>
  <c r="J243" i="10"/>
  <c r="I232" i="10"/>
  <c r="J224" i="10"/>
  <c r="I139" i="10"/>
  <c r="J139" i="10"/>
  <c r="I112" i="10"/>
  <c r="M31" i="10"/>
  <c r="M49" i="10" s="1"/>
  <c r="P319" i="4"/>
  <c r="P318" i="4"/>
  <c r="P317" i="4"/>
  <c r="P316" i="4"/>
  <c r="P314" i="4"/>
  <c r="J18" i="4"/>
  <c r="K17" i="4"/>
  <c r="I18" i="4"/>
  <c r="M17" i="4"/>
  <c r="M18" i="4" s="1"/>
  <c r="O150" i="4"/>
  <c r="O149" i="4"/>
  <c r="P326" i="4"/>
  <c r="I57" i="5" s="1"/>
  <c r="R289" i="4"/>
  <c r="Q290" i="4"/>
  <c r="S325" i="4"/>
  <c r="R305" i="4"/>
  <c r="S301" i="4"/>
  <c r="R28" i="4"/>
  <c r="R103" i="4" s="1"/>
  <c r="J15" i="3"/>
  <c r="X27" i="4"/>
  <c r="Q15" i="5"/>
  <c r="P10" i="3"/>
  <c r="W24" i="4"/>
  <c r="P12" i="5"/>
  <c r="O7" i="3"/>
  <c r="X23" i="4"/>
  <c r="Q11" i="5"/>
  <c r="Q23" i="5" s="1"/>
  <c r="Q40" i="5" s="1"/>
  <c r="E299" i="10" s="1"/>
  <c r="F299" i="10" s="1"/>
  <c r="G299" i="10" s="1"/>
  <c r="H299" i="10" s="1"/>
  <c r="I299" i="10" s="1"/>
  <c r="J299" i="10" s="1"/>
  <c r="K299" i="10" s="1"/>
  <c r="L299" i="10" s="1"/>
  <c r="M299" i="10" s="1"/>
  <c r="N299" i="10" s="1"/>
  <c r="P6" i="3"/>
  <c r="P10" i="5"/>
  <c r="W22" i="4"/>
  <c r="O5" i="3"/>
  <c r="P265" i="4"/>
  <c r="P264" i="4"/>
  <c r="P14" i="5"/>
  <c r="W26" i="4"/>
  <c r="X25" i="4"/>
  <c r="Q13" i="5"/>
  <c r="S67" i="4"/>
  <c r="S60" i="4"/>
  <c r="U198" i="4"/>
  <c r="I5" i="5"/>
  <c r="I6" i="5" s="1"/>
  <c r="J2" i="5"/>
  <c r="P17" i="4"/>
  <c r="P18" i="4" s="1"/>
  <c r="Q14" i="4"/>
  <c r="O9" i="3"/>
  <c r="X143" i="4" s="1"/>
  <c r="P8" i="3"/>
  <c r="P9" i="3" s="1"/>
  <c r="S145" i="4" l="1"/>
  <c r="T144" i="4"/>
  <c r="K213" i="4"/>
  <c r="K18" i="4"/>
  <c r="L17" i="4"/>
  <c r="L18" i="4" s="1"/>
  <c r="T346" i="4"/>
  <c r="S31" i="13"/>
  <c r="J69" i="13"/>
  <c r="Y16" i="13"/>
  <c r="Y30" i="13" s="1"/>
  <c r="N186" i="4"/>
  <c r="N104" i="4" s="1"/>
  <c r="G42" i="10"/>
  <c r="G43" i="10" s="1"/>
  <c r="G47" i="10" s="1"/>
  <c r="F187" i="4"/>
  <c r="F42" i="10"/>
  <c r="F43" i="10" s="1"/>
  <c r="F47" i="10" s="1"/>
  <c r="E187" i="4"/>
  <c r="E42" i="10"/>
  <c r="E43" i="10" s="1"/>
  <c r="E47" i="10" s="1"/>
  <c r="F27" i="13"/>
  <c r="F30" i="13"/>
  <c r="S33" i="13" s="1"/>
  <c r="Q56" i="17"/>
  <c r="H57" i="17"/>
  <c r="R71" i="4"/>
  <c r="R76" i="4"/>
  <c r="N185" i="4"/>
  <c r="G187" i="4"/>
  <c r="G189" i="4" s="1"/>
  <c r="E64" i="14"/>
  <c r="E66" i="14" s="1"/>
  <c r="E17" i="14"/>
  <c r="F64" i="14"/>
  <c r="F66" i="14" s="1"/>
  <c r="F17" i="14"/>
  <c r="F74" i="14" s="1"/>
  <c r="F23" i="14"/>
  <c r="F38" i="14"/>
  <c r="F39" i="14" s="1"/>
  <c r="F210" i="4" s="1"/>
  <c r="F74" i="10" s="1"/>
  <c r="D23" i="14"/>
  <c r="D38" i="14"/>
  <c r="D39" i="14" s="1"/>
  <c r="G64" i="14"/>
  <c r="G17" i="14"/>
  <c r="K63" i="11"/>
  <c r="K82" i="11" s="1"/>
  <c r="K83" i="11" s="1"/>
  <c r="K62" i="11"/>
  <c r="K61" i="11"/>
  <c r="O165" i="4"/>
  <c r="J113" i="11"/>
  <c r="L56" i="11"/>
  <c r="K330" i="10"/>
  <c r="L330" i="10" s="1"/>
  <c r="M330" i="10" s="1"/>
  <c r="N330" i="10" s="1"/>
  <c r="J250" i="10"/>
  <c r="K243" i="10"/>
  <c r="J232" i="10"/>
  <c r="K224" i="10"/>
  <c r="J112" i="10"/>
  <c r="N31" i="10"/>
  <c r="N49" i="10" s="1"/>
  <c r="Q319" i="4"/>
  <c r="Q318" i="4"/>
  <c r="Q317" i="4"/>
  <c r="Q315" i="4"/>
  <c r="Q314" i="4"/>
  <c r="P150" i="4"/>
  <c r="P149" i="4"/>
  <c r="Q326" i="4"/>
  <c r="J57" i="5" s="1"/>
  <c r="S289" i="4"/>
  <c r="R290" i="4"/>
  <c r="T325" i="4"/>
  <c r="S305" i="4"/>
  <c r="T301" i="4"/>
  <c r="S28" i="4"/>
  <c r="S103" i="4" s="1"/>
  <c r="K15" i="3"/>
  <c r="X24" i="4"/>
  <c r="Q12" i="5"/>
  <c r="P7" i="3"/>
  <c r="Q10" i="5"/>
  <c r="X22" i="4"/>
  <c r="P5" i="3"/>
  <c r="Q265" i="4"/>
  <c r="Q264" i="4"/>
  <c r="X26" i="4"/>
  <c r="Q14" i="5"/>
  <c r="T67" i="4"/>
  <c r="T60" i="4"/>
  <c r="V198" i="4"/>
  <c r="J5" i="5"/>
  <c r="J6" i="5" s="1"/>
  <c r="K2" i="5"/>
  <c r="Q17" i="4"/>
  <c r="Q18" i="4" s="1"/>
  <c r="R14" i="4"/>
  <c r="T145" i="4" l="1"/>
  <c r="U144" i="4"/>
  <c r="E23" i="14"/>
  <c r="E38" i="14"/>
  <c r="E39" i="14" s="1"/>
  <c r="E210" i="4" s="1"/>
  <c r="E74" i="10" s="1"/>
  <c r="U346" i="4"/>
  <c r="F192" i="4"/>
  <c r="F209" i="4"/>
  <c r="F189" i="4"/>
  <c r="E189" i="4"/>
  <c r="E209" i="4"/>
  <c r="E192" i="4"/>
  <c r="E27" i="13"/>
  <c r="E30" i="13"/>
  <c r="R33" i="13" s="1"/>
  <c r="S71" i="4"/>
  <c r="S76" i="4"/>
  <c r="Q57" i="17"/>
  <c r="H58" i="17"/>
  <c r="E74" i="14"/>
  <c r="E75" i="14" s="1"/>
  <c r="E78" i="14" s="1"/>
  <c r="N187" i="4"/>
  <c r="G209" i="4"/>
  <c r="G192" i="4"/>
  <c r="G66" i="14"/>
  <c r="I66" i="14" s="1"/>
  <c r="I64" i="14"/>
  <c r="F75" i="14"/>
  <c r="F78" i="14" s="1"/>
  <c r="G74" i="14"/>
  <c r="G38" i="14"/>
  <c r="I38" i="14" s="1"/>
  <c r="G23" i="14"/>
  <c r="I23" i="14" s="1"/>
  <c r="L63" i="11"/>
  <c r="L82" i="11" s="1"/>
  <c r="L83" i="11" s="1"/>
  <c r="L61" i="11"/>
  <c r="L62" i="11"/>
  <c r="M56" i="11"/>
  <c r="K113" i="11"/>
  <c r="P165" i="4"/>
  <c r="K250" i="10"/>
  <c r="L243" i="10"/>
  <c r="L224" i="10"/>
  <c r="K232" i="10"/>
  <c r="K112" i="10"/>
  <c r="O31" i="10"/>
  <c r="O49" i="10" s="1"/>
  <c r="R319" i="4"/>
  <c r="R318" i="4"/>
  <c r="R316" i="4"/>
  <c r="R315" i="4"/>
  <c r="R314" i="4"/>
  <c r="P154" i="4"/>
  <c r="Q150" i="4"/>
  <c r="Q149" i="4"/>
  <c r="R326" i="4"/>
  <c r="K57" i="5" s="1"/>
  <c r="T289" i="4"/>
  <c r="S290" i="4"/>
  <c r="U325" i="4"/>
  <c r="T305" i="4"/>
  <c r="U301" i="4"/>
  <c r="T28" i="4"/>
  <c r="T103" i="4" s="1"/>
  <c r="L15" i="3"/>
  <c r="R265" i="4"/>
  <c r="R264" i="4"/>
  <c r="U67" i="4"/>
  <c r="U60" i="4"/>
  <c r="W198" i="4"/>
  <c r="K5" i="5"/>
  <c r="K6" i="5" s="1"/>
  <c r="L2" i="5"/>
  <c r="R17" i="4"/>
  <c r="R18" i="4" s="1"/>
  <c r="S14" i="4"/>
  <c r="U145" i="4" l="1"/>
  <c r="V144" i="4"/>
  <c r="G73" i="10"/>
  <c r="V346" i="4"/>
  <c r="E211" i="4"/>
  <c r="E213" i="4" s="1"/>
  <c r="E73" i="10"/>
  <c r="E75" i="10" s="1"/>
  <c r="E77" i="10" s="1"/>
  <c r="F73" i="10"/>
  <c r="F75" i="10" s="1"/>
  <c r="F77" i="10" s="1"/>
  <c r="F211" i="4"/>
  <c r="F213" i="4" s="1"/>
  <c r="D27" i="13"/>
  <c r="D30" i="13"/>
  <c r="G26" i="13"/>
  <c r="T71" i="4"/>
  <c r="T76" i="4"/>
  <c r="Q58" i="17"/>
  <c r="H59" i="17"/>
  <c r="G75" i="14"/>
  <c r="I74" i="14"/>
  <c r="G39" i="14"/>
  <c r="G210" i="4" s="1"/>
  <c r="L210" i="4" s="1"/>
  <c r="L209" i="4" s="1"/>
  <c r="M62" i="11"/>
  <c r="M63" i="11"/>
  <c r="M82" i="11" s="1"/>
  <c r="M83" i="11" s="1"/>
  <c r="M61" i="11"/>
  <c r="N56" i="11"/>
  <c r="G68" i="12" s="1"/>
  <c r="H40" i="12" s="1"/>
  <c r="Q165" i="4"/>
  <c r="L113" i="11"/>
  <c r="L250" i="10"/>
  <c r="M243" i="10"/>
  <c r="L232" i="10"/>
  <c r="M224" i="10"/>
  <c r="L112" i="10"/>
  <c r="P31" i="10"/>
  <c r="P49" i="10" s="1"/>
  <c r="S319" i="4"/>
  <c r="S317" i="4"/>
  <c r="S316" i="4"/>
  <c r="S315" i="4"/>
  <c r="S314" i="4"/>
  <c r="Q154" i="4"/>
  <c r="R150" i="4"/>
  <c r="R149" i="4"/>
  <c r="S149" i="4"/>
  <c r="S326" i="4"/>
  <c r="L57" i="5" s="1"/>
  <c r="T290" i="4"/>
  <c r="U289" i="4"/>
  <c r="V325" i="4"/>
  <c r="U305" i="4"/>
  <c r="V301" i="4"/>
  <c r="U28" i="4"/>
  <c r="U103" i="4" s="1"/>
  <c r="M15" i="3"/>
  <c r="S265" i="4"/>
  <c r="S264" i="4"/>
  <c r="V67" i="4"/>
  <c r="V60" i="4"/>
  <c r="X198" i="4"/>
  <c r="L5" i="5"/>
  <c r="L6" i="5" s="1"/>
  <c r="M2" i="5"/>
  <c r="S17" i="4"/>
  <c r="S18" i="4" s="1"/>
  <c r="T14" i="4"/>
  <c r="W144" i="4" l="1"/>
  <c r="V145" i="4"/>
  <c r="J209" i="4"/>
  <c r="L211" i="4"/>
  <c r="L213" i="4" s="1"/>
  <c r="W346" i="4"/>
  <c r="G30" i="13"/>
  <c r="Q34" i="13" s="1"/>
  <c r="R34" i="13" s="1"/>
  <c r="S34" i="13" s="1"/>
  <c r="Q33" i="13"/>
  <c r="G211" i="4"/>
  <c r="G74" i="10"/>
  <c r="G75" i="10" s="1"/>
  <c r="G77" i="10" s="1"/>
  <c r="U76" i="4"/>
  <c r="U71" i="4"/>
  <c r="Q59" i="17"/>
  <c r="H60" i="17"/>
  <c r="I75" i="14"/>
  <c r="G78" i="14"/>
  <c r="I78" i="14" s="1"/>
  <c r="I39" i="14"/>
  <c r="N61" i="11"/>
  <c r="N63" i="11"/>
  <c r="N82" i="11" s="1"/>
  <c r="N83" i="11" s="1"/>
  <c r="N62" i="11"/>
  <c r="O56" i="11"/>
  <c r="R165" i="4"/>
  <c r="M113" i="11"/>
  <c r="M250" i="10"/>
  <c r="N243" i="10"/>
  <c r="N250" i="10" s="1"/>
  <c r="M232" i="10"/>
  <c r="N224" i="10"/>
  <c r="N232" i="10" s="1"/>
  <c r="M112" i="10"/>
  <c r="N112" i="10"/>
  <c r="Q31" i="10"/>
  <c r="Q49" i="10" s="1"/>
  <c r="T318" i="4"/>
  <c r="T317" i="4"/>
  <c r="T316" i="4"/>
  <c r="T315" i="4"/>
  <c r="T314" i="4"/>
  <c r="S150" i="4"/>
  <c r="R154" i="4"/>
  <c r="V289" i="4"/>
  <c r="U290" i="4"/>
  <c r="T326" i="4"/>
  <c r="M57" i="5" s="1"/>
  <c r="W325" i="4"/>
  <c r="V305" i="4"/>
  <c r="W301" i="4"/>
  <c r="V28" i="4"/>
  <c r="V103" i="4" s="1"/>
  <c r="N15" i="3"/>
  <c r="T265" i="4"/>
  <c r="T264" i="4"/>
  <c r="W67" i="4"/>
  <c r="W60" i="4"/>
  <c r="M5" i="5"/>
  <c r="M6" i="5" s="1"/>
  <c r="N2" i="5"/>
  <c r="T17" i="4"/>
  <c r="T18" i="4" s="1"/>
  <c r="U14" i="4"/>
  <c r="W145" i="4" l="1"/>
  <c r="X144" i="4"/>
  <c r="X145" i="4" s="1"/>
  <c r="N209" i="4"/>
  <c r="J211" i="4"/>
  <c r="X346" i="4"/>
  <c r="V71" i="4"/>
  <c r="V76" i="4"/>
  <c r="Q60" i="17"/>
  <c r="H61" i="17"/>
  <c r="G213" i="4"/>
  <c r="N210" i="4"/>
  <c r="O62" i="11"/>
  <c r="O63" i="11"/>
  <c r="O82" i="11" s="1"/>
  <c r="O83" i="11" s="1"/>
  <c r="O61" i="11"/>
  <c r="S165" i="4"/>
  <c r="N113" i="11"/>
  <c r="P56" i="11"/>
  <c r="U319" i="4"/>
  <c r="U318" i="4"/>
  <c r="U317" i="4"/>
  <c r="U316" i="4"/>
  <c r="U315" i="4"/>
  <c r="U314" i="4"/>
  <c r="S154" i="4"/>
  <c r="V290" i="4"/>
  <c r="W289" i="4"/>
  <c r="T150" i="4"/>
  <c r="T149" i="4"/>
  <c r="U149" i="4"/>
  <c r="U326" i="4"/>
  <c r="N57" i="5" s="1"/>
  <c r="X325" i="4"/>
  <c r="W305" i="4"/>
  <c r="X301" i="4"/>
  <c r="X305" i="4" s="1"/>
  <c r="W28" i="4"/>
  <c r="W103" i="4" s="1"/>
  <c r="O15" i="3"/>
  <c r="U265" i="4"/>
  <c r="U264" i="4"/>
  <c r="X67" i="4"/>
  <c r="X60" i="4"/>
  <c r="N5" i="5"/>
  <c r="N6" i="5" s="1"/>
  <c r="O2" i="5"/>
  <c r="U17" i="4"/>
  <c r="U18" i="4" s="1"/>
  <c r="V14" i="4"/>
  <c r="W71" i="4" l="1"/>
  <c r="W76" i="4"/>
  <c r="Q61" i="17"/>
  <c r="H62" i="17"/>
  <c r="P63" i="11"/>
  <c r="P82" i="11" s="1"/>
  <c r="P83" i="11" s="1"/>
  <c r="P62" i="11"/>
  <c r="P61" i="11"/>
  <c r="T165" i="4"/>
  <c r="O113" i="11"/>
  <c r="Q56" i="11"/>
  <c r="V319" i="4"/>
  <c r="V318" i="4"/>
  <c r="V317" i="4"/>
  <c r="V316" i="4"/>
  <c r="V315" i="4"/>
  <c r="V314" i="4"/>
  <c r="T154" i="4"/>
  <c r="W290" i="4"/>
  <c r="X289" i="4"/>
  <c r="X290" i="4" s="1"/>
  <c r="U150" i="4"/>
  <c r="V149" i="4"/>
  <c r="V326" i="4"/>
  <c r="O57" i="5" s="1"/>
  <c r="X28" i="4"/>
  <c r="X103" i="4" s="1"/>
  <c r="P15" i="3"/>
  <c r="V265" i="4"/>
  <c r="V264" i="4"/>
  <c r="O5" i="5"/>
  <c r="O6" i="5" s="1"/>
  <c r="P2" i="5"/>
  <c r="V17" i="4"/>
  <c r="V18" i="4" s="1"/>
  <c r="W14" i="4"/>
  <c r="X71" i="4" l="1"/>
  <c r="X76" i="4"/>
  <c r="Q62" i="17"/>
  <c r="H63" i="17"/>
  <c r="Q62" i="11"/>
  <c r="Q61" i="11"/>
  <c r="Q63" i="11"/>
  <c r="Q82" i="11" s="1"/>
  <c r="Q83" i="11" s="1"/>
  <c r="R56" i="11"/>
  <c r="U165" i="4"/>
  <c r="P113" i="11"/>
  <c r="W319" i="4"/>
  <c r="W318" i="4"/>
  <c r="W317" i="4"/>
  <c r="W316" i="4"/>
  <c r="W315" i="4"/>
  <c r="W314" i="4"/>
  <c r="V150" i="4"/>
  <c r="U154" i="4"/>
  <c r="W326" i="4"/>
  <c r="P57" i="5" s="1"/>
  <c r="W265" i="4"/>
  <c r="W264" i="4"/>
  <c r="P5" i="5"/>
  <c r="P6" i="5" s="1"/>
  <c r="Q2" i="5"/>
  <c r="Q5" i="5" s="1"/>
  <c r="Q6" i="5" s="1"/>
  <c r="W17" i="4"/>
  <c r="W18" i="4" s="1"/>
  <c r="X14" i="4"/>
  <c r="Q63" i="17" l="1"/>
  <c r="H64" i="17"/>
  <c r="R63" i="11"/>
  <c r="R82" i="11" s="1"/>
  <c r="R83" i="11" s="1"/>
  <c r="R62" i="11"/>
  <c r="R61" i="11"/>
  <c r="S56" i="11"/>
  <c r="V165" i="4"/>
  <c r="Q113" i="11"/>
  <c r="X319" i="4"/>
  <c r="X318" i="4"/>
  <c r="X317" i="4"/>
  <c r="X316" i="4"/>
  <c r="X315" i="4"/>
  <c r="X314" i="4"/>
  <c r="V154" i="4"/>
  <c r="W150" i="4"/>
  <c r="W149" i="4"/>
  <c r="X326" i="4"/>
  <c r="Q57" i="5" s="1"/>
  <c r="X265" i="4"/>
  <c r="X264" i="4"/>
  <c r="X17" i="4"/>
  <c r="X18" i="4" s="1"/>
  <c r="Q64" i="17" l="1"/>
  <c r="H65" i="17"/>
  <c r="S62" i="11"/>
  <c r="S63" i="11"/>
  <c r="S82" i="11" s="1"/>
  <c r="S83" i="11" s="1"/>
  <c r="S61" i="11"/>
  <c r="W165" i="4"/>
  <c r="R113" i="11"/>
  <c r="W154" i="4"/>
  <c r="X150" i="4"/>
  <c r="X149" i="4"/>
  <c r="Q65" i="17" l="1"/>
  <c r="H66" i="17"/>
  <c r="I83" i="11"/>
  <c r="S113" i="11"/>
  <c r="X165" i="4"/>
  <c r="X154" i="4"/>
  <c r="H67" i="17" l="1"/>
  <c r="Q66" i="17"/>
  <c r="Q67" i="17" l="1"/>
  <c r="H68" i="17"/>
  <c r="Q68" i="17" l="1"/>
  <c r="H69" i="17"/>
  <c r="Q69" i="17" l="1"/>
  <c r="H70" i="17"/>
  <c r="H19" i="5"/>
  <c r="C18" i="9"/>
  <c r="H18" i="5" s="1"/>
  <c r="E269" i="10" s="1"/>
  <c r="Q70" i="17" l="1"/>
  <c r="H71" i="17"/>
  <c r="F269" i="10"/>
  <c r="G269" i="10" s="1"/>
  <c r="H269" i="10" s="1"/>
  <c r="I269" i="10" s="1"/>
  <c r="J269" i="10" s="1"/>
  <c r="K269" i="10" s="1"/>
  <c r="L269" i="10" s="1"/>
  <c r="M269" i="10" s="1"/>
  <c r="N269" i="10" s="1"/>
  <c r="E270" i="10"/>
  <c r="I19" i="5"/>
  <c r="H39" i="5"/>
  <c r="E302" i="10" s="1"/>
  <c r="H22" i="5"/>
  <c r="I18" i="5"/>
  <c r="H72" i="17" l="1"/>
  <c r="Q71" i="17"/>
  <c r="F270" i="10"/>
  <c r="G270" i="10" s="1"/>
  <c r="H270" i="10" s="1"/>
  <c r="I270" i="10" s="1"/>
  <c r="J270" i="10" s="1"/>
  <c r="K270" i="10" s="1"/>
  <c r="L270" i="10" s="1"/>
  <c r="M270" i="10" s="1"/>
  <c r="N270" i="10" s="1"/>
  <c r="E303" i="10"/>
  <c r="F302" i="10"/>
  <c r="G302" i="10" s="1"/>
  <c r="H302" i="10" s="1"/>
  <c r="I302" i="10" s="1"/>
  <c r="J302" i="10" s="1"/>
  <c r="K302" i="10" s="1"/>
  <c r="L302" i="10" s="1"/>
  <c r="M302" i="10" s="1"/>
  <c r="N302" i="10" s="1"/>
  <c r="I39" i="5"/>
  <c r="J19" i="5"/>
  <c r="I22" i="5"/>
  <c r="J18" i="5"/>
  <c r="Q72" i="17" l="1"/>
  <c r="H73" i="17"/>
  <c r="F303" i="10"/>
  <c r="G303" i="10" s="1"/>
  <c r="H303" i="10" s="1"/>
  <c r="I303" i="10" s="1"/>
  <c r="J303" i="10" s="1"/>
  <c r="K303" i="10" s="1"/>
  <c r="L303" i="10" s="1"/>
  <c r="M303" i="10" s="1"/>
  <c r="N303" i="10" s="1"/>
  <c r="J39" i="5"/>
  <c r="K19" i="5"/>
  <c r="J22" i="5"/>
  <c r="K18" i="5"/>
  <c r="Q73" i="17" l="1"/>
  <c r="H74" i="17"/>
  <c r="K39" i="5"/>
  <c r="L19" i="5"/>
  <c r="K22" i="5"/>
  <c r="L18" i="5"/>
  <c r="Q74" i="17" l="1"/>
  <c r="H75" i="17"/>
  <c r="L39" i="5"/>
  <c r="M19" i="5"/>
  <c r="L22" i="5"/>
  <c r="M18" i="5"/>
  <c r="H76" i="17" l="1"/>
  <c r="Q75" i="17"/>
  <c r="M39" i="5"/>
  <c r="N19" i="5"/>
  <c r="M22" i="5"/>
  <c r="N18" i="5"/>
  <c r="H77" i="17" l="1"/>
  <c r="Q76" i="17"/>
  <c r="N39" i="5"/>
  <c r="O19" i="5"/>
  <c r="N22" i="5"/>
  <c r="O18" i="5"/>
  <c r="H78" i="17" l="1"/>
  <c r="Q77" i="17"/>
  <c r="O39" i="5"/>
  <c r="P19" i="5"/>
  <c r="O22" i="5"/>
  <c r="P18" i="5"/>
  <c r="Q78" i="17" l="1"/>
  <c r="H79" i="17"/>
  <c r="P39" i="5"/>
  <c r="Q19" i="5"/>
  <c r="Q39" i="5" s="1"/>
  <c r="P22" i="5"/>
  <c r="Q18" i="5"/>
  <c r="Q22" i="5" s="1"/>
  <c r="Q79" i="17" l="1"/>
  <c r="H80" i="17"/>
  <c r="N34" i="4"/>
  <c r="N83" i="4"/>
  <c r="O83" i="4" s="1"/>
  <c r="P83" i="4" s="1"/>
  <c r="Q83" i="4" s="1"/>
  <c r="R83" i="4" s="1"/>
  <c r="S83" i="4" s="1"/>
  <c r="T83" i="4" s="1"/>
  <c r="U83" i="4" s="1"/>
  <c r="V83" i="4" s="1"/>
  <c r="W83" i="4" s="1"/>
  <c r="X83" i="4" s="1"/>
  <c r="Q80" i="17" l="1"/>
  <c r="H81" i="17"/>
  <c r="N190" i="4"/>
  <c r="O34" i="4"/>
  <c r="N35" i="4"/>
  <c r="Q81" i="17" l="1"/>
  <c r="H82" i="17"/>
  <c r="N38" i="4"/>
  <c r="O38" i="4" s="1"/>
  <c r="P38" i="4" s="1"/>
  <c r="Q38" i="4" s="1"/>
  <c r="P34" i="4"/>
  <c r="O35" i="4"/>
  <c r="Q82" i="17" l="1"/>
  <c r="H83" i="17"/>
  <c r="Q34" i="4"/>
  <c r="P35" i="4"/>
  <c r="O41" i="4"/>
  <c r="O42" i="4" s="1"/>
  <c r="R38" i="4"/>
  <c r="Q83" i="17" l="1"/>
  <c r="H84" i="17"/>
  <c r="R34" i="4"/>
  <c r="Q35" i="4"/>
  <c r="P41" i="4"/>
  <c r="P42" i="4" s="1"/>
  <c r="S38" i="4"/>
  <c r="Q84" i="17" l="1"/>
  <c r="H85" i="17"/>
  <c r="S34" i="4"/>
  <c r="R35" i="4"/>
  <c r="Q41" i="4"/>
  <c r="Q42" i="4" s="1"/>
  <c r="T38" i="4"/>
  <c r="Q85" i="17" l="1"/>
  <c r="H86" i="17"/>
  <c r="S35" i="4"/>
  <c r="T34" i="4"/>
  <c r="R41" i="4"/>
  <c r="R42" i="4" s="1"/>
  <c r="U38" i="4"/>
  <c r="Q86" i="17" l="1"/>
  <c r="H87" i="17"/>
  <c r="S41" i="4"/>
  <c r="S42" i="4" s="1"/>
  <c r="T35" i="4"/>
  <c r="U34" i="4"/>
  <c r="V38" i="4"/>
  <c r="Q87" i="17" l="1"/>
  <c r="H88" i="17"/>
  <c r="T41" i="4"/>
  <c r="T42" i="4" s="1"/>
  <c r="U35" i="4"/>
  <c r="V34" i="4"/>
  <c r="W38" i="4"/>
  <c r="Q88" i="17" l="1"/>
  <c r="H89" i="17"/>
  <c r="U41" i="4"/>
  <c r="U42" i="4" s="1"/>
  <c r="V35" i="4"/>
  <c r="W34" i="4"/>
  <c r="X38" i="4"/>
  <c r="Q89" i="17" l="1"/>
  <c r="H90" i="17"/>
  <c r="V41" i="4"/>
  <c r="V42" i="4" s="1"/>
  <c r="W35" i="4"/>
  <c r="X34" i="4"/>
  <c r="X35" i="4" s="1"/>
  <c r="Q90" i="17" l="1"/>
  <c r="H91" i="17"/>
  <c r="W41" i="4"/>
  <c r="W42" i="4" s="1"/>
  <c r="X41" i="4"/>
  <c r="X42" i="4" s="1"/>
  <c r="Q91" i="17" l="1"/>
  <c r="H92" i="17"/>
  <c r="D12" i="17" l="1"/>
  <c r="Q92" i="17"/>
  <c r="H93" i="17"/>
  <c r="Q93" i="17" l="1"/>
  <c r="H94" i="17"/>
  <c r="H95" i="17" l="1"/>
  <c r="Q94" i="17"/>
  <c r="N54" i="4"/>
  <c r="N57" i="4" s="1"/>
  <c r="N85" i="4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H96" i="17" l="1"/>
  <c r="Q95" i="17"/>
  <c r="N304" i="4"/>
  <c r="N306" i="4" s="1"/>
  <c r="N45" i="4"/>
  <c r="D21" i="2" s="1"/>
  <c r="O45" i="4" s="1"/>
  <c r="N191" i="4"/>
  <c r="D42" i="2"/>
  <c r="D44" i="2" l="1"/>
  <c r="F40" i="8"/>
  <c r="F37" i="8"/>
  <c r="F36" i="8"/>
  <c r="F15" i="8"/>
  <c r="F39" i="8" s="1"/>
  <c r="F63" i="8"/>
  <c r="Q96" i="17"/>
  <c r="H97" i="17"/>
  <c r="N102" i="4"/>
  <c r="N103" i="4" s="1"/>
  <c r="P45" i="4"/>
  <c r="O54" i="4"/>
  <c r="D47" i="2" l="1"/>
  <c r="D122" i="2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D76" i="2"/>
  <c r="K67" i="13"/>
  <c r="H63" i="8"/>
  <c r="D63" i="8"/>
  <c r="L63" i="8" s="1"/>
  <c r="Q97" i="17"/>
  <c r="H98" i="17"/>
  <c r="D15" i="8"/>
  <c r="H15" i="8"/>
  <c r="Q45" i="4"/>
  <c r="P54" i="4"/>
  <c r="O55" i="4" l="1"/>
  <c r="M63" i="8"/>
  <c r="G63" i="8"/>
  <c r="I204" i="4"/>
  <c r="D49" i="2"/>
  <c r="D53" i="2" s="1"/>
  <c r="E19" i="10"/>
  <c r="K63" i="8"/>
  <c r="E63" i="8"/>
  <c r="E15" i="8"/>
  <c r="E39" i="8" s="1"/>
  <c r="D39" i="8"/>
  <c r="G15" i="8"/>
  <c r="G39" i="8" s="1"/>
  <c r="H39" i="8"/>
  <c r="M39" i="8" s="1"/>
  <c r="H99" i="17"/>
  <c r="Q98" i="17"/>
  <c r="N192" i="4"/>
  <c r="R45" i="4"/>
  <c r="Q54" i="4"/>
  <c r="G69" i="13" l="1"/>
  <c r="K39" i="8"/>
  <c r="L39" i="8"/>
  <c r="Q99" i="17"/>
  <c r="H100" i="17"/>
  <c r="S45" i="4"/>
  <c r="R54" i="4"/>
  <c r="H101" i="17" l="1"/>
  <c r="Q100" i="17"/>
  <c r="S54" i="4"/>
  <c r="T45" i="4"/>
  <c r="Q101" i="17" l="1"/>
  <c r="H102" i="17"/>
  <c r="T54" i="4"/>
  <c r="U45" i="4"/>
  <c r="H103" i="17" l="1"/>
  <c r="Q102" i="17"/>
  <c r="U54" i="4"/>
  <c r="V45" i="4"/>
  <c r="H104" i="17" l="1"/>
  <c r="Q103" i="17"/>
  <c r="V54" i="4"/>
  <c r="W45" i="4"/>
  <c r="H105" i="17" l="1"/>
  <c r="Q104" i="17"/>
  <c r="W54" i="4"/>
  <c r="X45" i="4"/>
  <c r="X54" i="4" s="1"/>
  <c r="Q105" i="17" l="1"/>
  <c r="H106" i="17"/>
  <c r="H48" i="5"/>
  <c r="H107" i="17" l="1"/>
  <c r="Q106" i="17"/>
  <c r="H108" i="17" l="1"/>
  <c r="Q107" i="17"/>
  <c r="H109" i="17" l="1"/>
  <c r="Q108" i="17"/>
  <c r="Q109" i="17" l="1"/>
  <c r="H110" i="17"/>
  <c r="I56" i="5"/>
  <c r="J56" i="5" s="1"/>
  <c r="K56" i="5" s="1"/>
  <c r="L56" i="5" s="1"/>
  <c r="M56" i="5" s="1"/>
  <c r="N56" i="5" s="1"/>
  <c r="O56" i="5" s="1"/>
  <c r="P56" i="5" s="1"/>
  <c r="Q56" i="5" s="1"/>
  <c r="E333" i="10"/>
  <c r="Q110" i="17" l="1"/>
  <c r="H111" i="17"/>
  <c r="F333" i="10"/>
  <c r="G333" i="10" s="1"/>
  <c r="H333" i="10" s="1"/>
  <c r="I333" i="10" s="1"/>
  <c r="J333" i="10" s="1"/>
  <c r="K333" i="10" s="1"/>
  <c r="L333" i="10" s="1"/>
  <c r="M333" i="10" s="1"/>
  <c r="N333" i="10" s="1"/>
  <c r="E334" i="10"/>
  <c r="Q111" i="17" l="1"/>
  <c r="H112" i="17"/>
  <c r="F334" i="10"/>
  <c r="Q112" i="17" l="1"/>
  <c r="H113" i="17"/>
  <c r="G334" i="10"/>
  <c r="Q113" i="17" l="1"/>
  <c r="H114" i="17"/>
  <c r="H334" i="10"/>
  <c r="H115" i="17" l="1"/>
  <c r="Q114" i="17"/>
  <c r="I334" i="10"/>
  <c r="Q115" i="17" l="1"/>
  <c r="H116" i="17"/>
  <c r="J334" i="10"/>
  <c r="Q116" i="17" l="1"/>
  <c r="B124" i="17"/>
  <c r="D17" i="17"/>
  <c r="B125" i="17"/>
  <c r="B126" i="17"/>
  <c r="K334" i="10"/>
  <c r="L334" i="10" s="1"/>
  <c r="M334" i="10" s="1"/>
  <c r="N334" i="10" s="1"/>
  <c r="K125" i="17" l="1"/>
  <c r="J125" i="17"/>
  <c r="J126" i="17"/>
  <c r="K126" i="17"/>
  <c r="J127" i="17"/>
  <c r="K127" i="17"/>
  <c r="L15" i="8" l="1"/>
  <c r="M15" i="8"/>
  <c r="K15" i="8" l="1"/>
  <c r="E33" i="13" l="1"/>
  <c r="E35" i="13"/>
  <c r="E36" i="13" s="1"/>
  <c r="D33" i="13" l="1"/>
  <c r="D35" i="13"/>
  <c r="D36" i="13" s="1"/>
  <c r="G48" i="12" l="1"/>
  <c r="R71" i="11"/>
  <c r="R72" i="11" s="1"/>
  <c r="J71" i="11"/>
  <c r="J72" i="11" s="1"/>
  <c r="O71" i="11"/>
  <c r="O72" i="11" s="1"/>
  <c r="M71" i="11"/>
  <c r="M72" i="11" s="1"/>
  <c r="P71" i="11"/>
  <c r="P72" i="11" s="1"/>
  <c r="L71" i="11"/>
  <c r="L72" i="11" s="1"/>
  <c r="Q71" i="11"/>
  <c r="Q72" i="11" s="1"/>
  <c r="N71" i="11"/>
  <c r="N72" i="11" s="1"/>
  <c r="S71" i="11"/>
  <c r="S72" i="11" s="1"/>
  <c r="K71" i="11"/>
  <c r="K72" i="11" s="1"/>
  <c r="G44" i="12" l="1"/>
  <c r="G63" i="12"/>
  <c r="G50" i="12"/>
  <c r="K77" i="11"/>
  <c r="K78" i="11" s="1"/>
  <c r="K64" i="11"/>
  <c r="K66" i="11" s="1"/>
  <c r="R77" i="11"/>
  <c r="R78" i="11" s="1"/>
  <c r="R64" i="11"/>
  <c r="R66" i="11" s="1"/>
  <c r="N77" i="11"/>
  <c r="N78" i="11" s="1"/>
  <c r="N64" i="11"/>
  <c r="N66" i="11" s="1"/>
  <c r="O77" i="11"/>
  <c r="O78" i="11" s="1"/>
  <c r="O64" i="11"/>
  <c r="O66" i="11" s="1"/>
  <c r="S77" i="11"/>
  <c r="S78" i="11" s="1"/>
  <c r="S64" i="11"/>
  <c r="S66" i="11" s="1"/>
  <c r="Q77" i="11"/>
  <c r="Q78" i="11" s="1"/>
  <c r="Q64" i="11"/>
  <c r="Q66" i="11" s="1"/>
  <c r="L77" i="11"/>
  <c r="L78" i="11" s="1"/>
  <c r="L64" i="11"/>
  <c r="L66" i="11" s="1"/>
  <c r="W163" i="4"/>
  <c r="W174" i="4" s="1"/>
  <c r="W63" i="4" s="1"/>
  <c r="W64" i="4" s="1"/>
  <c r="R110" i="11"/>
  <c r="O163" i="4"/>
  <c r="I72" i="11"/>
  <c r="J110" i="11"/>
  <c r="O110" i="11"/>
  <c r="T163" i="4"/>
  <c r="R163" i="4"/>
  <c r="M110" i="11"/>
  <c r="U163" i="4"/>
  <c r="U174" i="4" s="1"/>
  <c r="U63" i="4" s="1"/>
  <c r="U64" i="4" s="1"/>
  <c r="P110" i="11"/>
  <c r="Q163" i="4"/>
  <c r="L110" i="11"/>
  <c r="Q110" i="11"/>
  <c r="V163" i="4"/>
  <c r="V174" i="4" s="1"/>
  <c r="V63" i="4" s="1"/>
  <c r="V64" i="4" s="1"/>
  <c r="N110" i="11"/>
  <c r="S163" i="4"/>
  <c r="S110" i="11"/>
  <c r="X163" i="4"/>
  <c r="X174" i="4" s="1"/>
  <c r="X63" i="4" s="1"/>
  <c r="X64" i="4" s="1"/>
  <c r="K110" i="11"/>
  <c r="P163" i="4"/>
  <c r="J77" i="11"/>
  <c r="J78" i="11" s="1"/>
  <c r="J64" i="11"/>
  <c r="J66" i="11" s="1"/>
  <c r="P77" i="11"/>
  <c r="P78" i="11" s="1"/>
  <c r="P64" i="11"/>
  <c r="P66" i="11" s="1"/>
  <c r="M77" i="11"/>
  <c r="M78" i="11" s="1"/>
  <c r="M64" i="11"/>
  <c r="M66" i="11" s="1"/>
  <c r="P164" i="4" l="1"/>
  <c r="P175" i="4" s="1"/>
  <c r="K111" i="11"/>
  <c r="K112" i="11" s="1"/>
  <c r="K114" i="11" s="1"/>
  <c r="W164" i="4"/>
  <c r="W175" i="4" s="1"/>
  <c r="W176" i="4" s="1"/>
  <c r="W46" i="4" s="1"/>
  <c r="W51" i="4" s="1"/>
  <c r="W56" i="4" s="1"/>
  <c r="W57" i="4" s="1"/>
  <c r="W177" i="4" s="1"/>
  <c r="R111" i="11"/>
  <c r="R112" i="11" s="1"/>
  <c r="R114" i="11" s="1"/>
  <c r="N111" i="11"/>
  <c r="N112" i="11" s="1"/>
  <c r="N114" i="11" s="1"/>
  <c r="S164" i="4"/>
  <c r="S175" i="4" s="1"/>
  <c r="T164" i="4"/>
  <c r="T175" i="4" s="1"/>
  <c r="O111" i="11"/>
  <c r="O112" i="11" s="1"/>
  <c r="O114" i="11" s="1"/>
  <c r="O116" i="11" s="1"/>
  <c r="O121" i="11" s="1"/>
  <c r="X164" i="4"/>
  <c r="X175" i="4" s="1"/>
  <c r="X176" i="4" s="1"/>
  <c r="X46" i="4" s="1"/>
  <c r="X51" i="4" s="1"/>
  <c r="X56" i="4" s="1"/>
  <c r="X57" i="4" s="1"/>
  <c r="X177" i="4" s="1"/>
  <c r="S111" i="11"/>
  <c r="S112" i="11" s="1"/>
  <c r="S114" i="11" s="1"/>
  <c r="V164" i="4"/>
  <c r="V175" i="4" s="1"/>
  <c r="V176" i="4" s="1"/>
  <c r="V46" i="4" s="1"/>
  <c r="V51" i="4" s="1"/>
  <c r="V56" i="4" s="1"/>
  <c r="V57" i="4" s="1"/>
  <c r="V177" i="4" s="1"/>
  <c r="Q111" i="11"/>
  <c r="Q112" i="11" s="1"/>
  <c r="Q114" i="11" s="1"/>
  <c r="Q164" i="4"/>
  <c r="Q175" i="4" s="1"/>
  <c r="L111" i="11"/>
  <c r="L112" i="11" s="1"/>
  <c r="L114" i="11" s="1"/>
  <c r="U164" i="4"/>
  <c r="U175" i="4" s="1"/>
  <c r="U176" i="4" s="1"/>
  <c r="U46" i="4" s="1"/>
  <c r="U51" i="4" s="1"/>
  <c r="U56" i="4" s="1"/>
  <c r="U57" i="4" s="1"/>
  <c r="U177" i="4" s="1"/>
  <c r="P111" i="11"/>
  <c r="P112" i="11" s="1"/>
  <c r="P114" i="11" s="1"/>
  <c r="M111" i="11"/>
  <c r="M112" i="11" s="1"/>
  <c r="M114" i="11" s="1"/>
  <c r="R164" i="4"/>
  <c r="R175" i="4" s="1"/>
  <c r="F58" i="11" a="1"/>
  <c r="F58" i="11" s="1"/>
  <c r="G49" i="12"/>
  <c r="O174" i="4"/>
  <c r="O63" i="4" s="1"/>
  <c r="O64" i="4" s="1"/>
  <c r="O77" i="4" s="1"/>
  <c r="H22" i="13"/>
  <c r="T18" i="13" s="1"/>
  <c r="T174" i="4"/>
  <c r="T63" i="4" s="1"/>
  <c r="T64" i="4" s="1"/>
  <c r="R174" i="4"/>
  <c r="R63" i="4" s="1"/>
  <c r="R64" i="4" s="1"/>
  <c r="K22" i="13"/>
  <c r="W18" i="13" s="1"/>
  <c r="Q174" i="4"/>
  <c r="Q63" i="4" s="1"/>
  <c r="Q64" i="4" s="1"/>
  <c r="J22" i="13"/>
  <c r="V18" i="13" s="1"/>
  <c r="S174" i="4"/>
  <c r="S63" i="4" s="1"/>
  <c r="S64" i="4" s="1"/>
  <c r="L22" i="13"/>
  <c r="P174" i="4"/>
  <c r="P63" i="4" s="1"/>
  <c r="P64" i="4" s="1"/>
  <c r="I22" i="13"/>
  <c r="U18" i="13" s="1"/>
  <c r="W88" i="4"/>
  <c r="R126" i="11"/>
  <c r="P32" i="10"/>
  <c r="M92" i="10" s="1"/>
  <c r="U88" i="4"/>
  <c r="P126" i="11"/>
  <c r="N32" i="10"/>
  <c r="K92" i="10" s="1"/>
  <c r="V88" i="4"/>
  <c r="Q126" i="11"/>
  <c r="O32" i="10"/>
  <c r="L92" i="10" s="1"/>
  <c r="X88" i="4"/>
  <c r="S126" i="11"/>
  <c r="Q32" i="10"/>
  <c r="N92" i="10" s="1"/>
  <c r="J111" i="11"/>
  <c r="J112" i="11" s="1"/>
  <c r="I78" i="11"/>
  <c r="O164" i="4"/>
  <c r="O175" i="4" s="1"/>
  <c r="F66" i="11"/>
  <c r="O78" i="4" l="1"/>
  <c r="O80" i="4" s="1"/>
  <c r="O201" i="4" s="1"/>
  <c r="H66" i="10" s="1"/>
  <c r="P72" i="4"/>
  <c r="P73" i="4" s="1"/>
  <c r="P77" i="4"/>
  <c r="X18" i="13"/>
  <c r="N22" i="13"/>
  <c r="Y18" i="13"/>
  <c r="O147" i="11"/>
  <c r="R116" i="11"/>
  <c r="R121" i="11" s="1"/>
  <c r="R122" i="11" s="1"/>
  <c r="R123" i="11" s="1"/>
  <c r="R154" i="11" s="1"/>
  <c r="R147" i="11"/>
  <c r="I33" i="10"/>
  <c r="F93" i="10" s="1"/>
  <c r="I46" i="13" s="1"/>
  <c r="P89" i="4"/>
  <c r="P197" i="4" s="1"/>
  <c r="I64" i="10" s="1"/>
  <c r="K127" i="11"/>
  <c r="K91" i="11" s="1"/>
  <c r="W89" i="4"/>
  <c r="P33" i="10"/>
  <c r="M93" i="10" s="1"/>
  <c r="R127" i="11"/>
  <c r="L33" i="10"/>
  <c r="I93" i="10" s="1"/>
  <c r="L46" i="13" s="1"/>
  <c r="S89" i="4"/>
  <c r="S197" i="4" s="1"/>
  <c r="L64" i="10" s="1"/>
  <c r="N127" i="11"/>
  <c r="N91" i="11" s="1"/>
  <c r="T89" i="4"/>
  <c r="T197" i="4" s="1"/>
  <c r="M64" i="10" s="1"/>
  <c r="M33" i="10"/>
  <c r="J93" i="10" s="1"/>
  <c r="O127" i="11"/>
  <c r="O91" i="11" s="1"/>
  <c r="X89" i="4"/>
  <c r="Q33" i="10"/>
  <c r="N93" i="10" s="1"/>
  <c r="S127" i="11"/>
  <c r="O33" i="10"/>
  <c r="L93" i="10" s="1"/>
  <c r="V89" i="4"/>
  <c r="Q127" i="11"/>
  <c r="J33" i="10"/>
  <c r="G93" i="10" s="1"/>
  <c r="J46" i="13" s="1"/>
  <c r="Q89" i="4"/>
  <c r="Q197" i="4" s="1"/>
  <c r="J64" i="10" s="1"/>
  <c r="L127" i="11"/>
  <c r="L91" i="11" s="1"/>
  <c r="N33" i="10"/>
  <c r="K93" i="10" s="1"/>
  <c r="U89" i="4"/>
  <c r="P127" i="11"/>
  <c r="R89" i="4"/>
  <c r="R197" i="4" s="1"/>
  <c r="K64" i="10" s="1"/>
  <c r="K33" i="10"/>
  <c r="H93" i="10" s="1"/>
  <c r="K46" i="13" s="1"/>
  <c r="M127" i="11"/>
  <c r="M91" i="11" s="1"/>
  <c r="I29" i="13"/>
  <c r="U32" i="13" s="1"/>
  <c r="K147" i="11"/>
  <c r="K116" i="11"/>
  <c r="K121" i="11" s="1"/>
  <c r="K122" i="11" s="1"/>
  <c r="K123" i="11" s="1"/>
  <c r="K154" i="11" s="1"/>
  <c r="L29" i="13"/>
  <c r="N147" i="11"/>
  <c r="N116" i="11"/>
  <c r="N121" i="11" s="1"/>
  <c r="N122" i="11" s="1"/>
  <c r="N123" i="11" s="1"/>
  <c r="N154" i="11" s="1"/>
  <c r="S147" i="11"/>
  <c r="S116" i="11"/>
  <c r="S121" i="11" s="1"/>
  <c r="S122" i="11" s="1"/>
  <c r="S123" i="11" s="1"/>
  <c r="S154" i="11" s="1"/>
  <c r="Q147" i="11"/>
  <c r="Q116" i="11"/>
  <c r="Q121" i="11" s="1"/>
  <c r="Q122" i="11" s="1"/>
  <c r="Q123" i="11" s="1"/>
  <c r="Q154" i="11" s="1"/>
  <c r="J29" i="13"/>
  <c r="V32" i="13" s="1"/>
  <c r="L147" i="11"/>
  <c r="L116" i="11"/>
  <c r="L121" i="11" s="1"/>
  <c r="L122" i="11" s="1"/>
  <c r="L123" i="11" s="1"/>
  <c r="L154" i="11" s="1"/>
  <c r="P147" i="11"/>
  <c r="P116" i="11"/>
  <c r="P121" i="11" s="1"/>
  <c r="P122" i="11" s="1"/>
  <c r="P123" i="11" s="1"/>
  <c r="P154" i="11" s="1"/>
  <c r="K29" i="13"/>
  <c r="W32" i="13" s="1"/>
  <c r="M116" i="11"/>
  <c r="M121" i="11" s="1"/>
  <c r="M122" i="11" s="1"/>
  <c r="M123" i="11" s="1"/>
  <c r="M154" i="11" s="1"/>
  <c r="M147" i="11"/>
  <c r="N58" i="11"/>
  <c r="N86" i="11" s="1"/>
  <c r="N87" i="11" s="1"/>
  <c r="S166" i="4" s="1"/>
  <c r="M58" i="11"/>
  <c r="M86" i="11" s="1"/>
  <c r="M87" i="11" s="1"/>
  <c r="R166" i="4" s="1"/>
  <c r="R58" i="11"/>
  <c r="R86" i="11" s="1"/>
  <c r="R87" i="11" s="1"/>
  <c r="W166" i="4" s="1"/>
  <c r="W219" i="4" s="1"/>
  <c r="W242" i="4" s="1"/>
  <c r="M98" i="10" s="1"/>
  <c r="K58" i="11"/>
  <c r="K86" i="11" s="1"/>
  <c r="K87" i="11" s="1"/>
  <c r="P166" i="4" s="1"/>
  <c r="P219" i="4" s="1"/>
  <c r="P242" i="4" s="1"/>
  <c r="I32" i="13" s="1"/>
  <c r="J58" i="11"/>
  <c r="J86" i="11" s="1"/>
  <c r="J87" i="11" s="1"/>
  <c r="P58" i="11"/>
  <c r="P86" i="11" s="1"/>
  <c r="P87" i="11" s="1"/>
  <c r="U166" i="4" s="1"/>
  <c r="U219" i="4" s="1"/>
  <c r="U242" i="4" s="1"/>
  <c r="Q58" i="11"/>
  <c r="Q86" i="11" s="1"/>
  <c r="Q87" i="11" s="1"/>
  <c r="V166" i="4" s="1"/>
  <c r="V219" i="4" s="1"/>
  <c r="V242" i="4" s="1"/>
  <c r="L98" i="10" s="1"/>
  <c r="O58" i="11"/>
  <c r="O86" i="11" s="1"/>
  <c r="O87" i="11" s="1"/>
  <c r="T166" i="4" s="1"/>
  <c r="L58" i="11"/>
  <c r="L86" i="11" s="1"/>
  <c r="L87" i="11" s="1"/>
  <c r="Q166" i="4" s="1"/>
  <c r="S58" i="11"/>
  <c r="S86" i="11" s="1"/>
  <c r="S87" i="11" s="1"/>
  <c r="X166" i="4" s="1"/>
  <c r="X219" i="4" s="1"/>
  <c r="X242" i="4" s="1"/>
  <c r="N98" i="10" s="1"/>
  <c r="H32" i="10"/>
  <c r="H18" i="13" s="1"/>
  <c r="T17" i="13" s="1"/>
  <c r="T19" i="13" s="1"/>
  <c r="O176" i="4"/>
  <c r="O46" i="4" s="1"/>
  <c r="O51" i="4" s="1"/>
  <c r="O56" i="4" s="1"/>
  <c r="O57" i="4" s="1"/>
  <c r="R176" i="4"/>
  <c r="R46" i="4" s="1"/>
  <c r="R51" i="4" s="1"/>
  <c r="R56" i="4" s="1"/>
  <c r="R57" i="4" s="1"/>
  <c r="R177" i="4" s="1"/>
  <c r="Q176" i="4"/>
  <c r="Q46" i="4" s="1"/>
  <c r="Q51" i="4" s="1"/>
  <c r="Q56" i="4" s="1"/>
  <c r="Q57" i="4" s="1"/>
  <c r="Q177" i="4" s="1"/>
  <c r="P176" i="4"/>
  <c r="P46" i="4" s="1"/>
  <c r="P51" i="4" s="1"/>
  <c r="P56" i="4" s="1"/>
  <c r="P57" i="4" s="1"/>
  <c r="P177" i="4" s="1"/>
  <c r="O88" i="4"/>
  <c r="O196" i="4" s="1"/>
  <c r="H63" i="10" s="1"/>
  <c r="J126" i="11"/>
  <c r="J90" i="11" s="1"/>
  <c r="M32" i="10"/>
  <c r="T88" i="4"/>
  <c r="O126" i="11"/>
  <c r="T176" i="4"/>
  <c r="T46" i="4" s="1"/>
  <c r="T51" i="4" s="1"/>
  <c r="T56" i="4" s="1"/>
  <c r="T57" i="4" s="1"/>
  <c r="T177" i="4" s="1"/>
  <c r="S176" i="4"/>
  <c r="S46" i="4" s="1"/>
  <c r="S51" i="4" s="1"/>
  <c r="S56" i="4" s="1"/>
  <c r="S57" i="4" s="1"/>
  <c r="S177" i="4" s="1"/>
  <c r="S88" i="4"/>
  <c r="N126" i="11"/>
  <c r="L32" i="10"/>
  <c r="L18" i="13" s="1"/>
  <c r="K126" i="11"/>
  <c r="P88" i="4"/>
  <c r="I32" i="10"/>
  <c r="I18" i="13" s="1"/>
  <c r="U17" i="13" s="1"/>
  <c r="U19" i="13" s="1"/>
  <c r="R88" i="4"/>
  <c r="M126" i="11"/>
  <c r="K32" i="10"/>
  <c r="K18" i="13" s="1"/>
  <c r="W17" i="13" s="1"/>
  <c r="W19" i="13" s="1"/>
  <c r="Q88" i="4"/>
  <c r="L126" i="11"/>
  <c r="J32" i="10"/>
  <c r="J18" i="13" s="1"/>
  <c r="V17" i="13" s="1"/>
  <c r="V19" i="13" s="1"/>
  <c r="W196" i="4"/>
  <c r="P63" i="10" s="1"/>
  <c r="R90" i="11"/>
  <c r="P34" i="10"/>
  <c r="P45" i="10" s="1"/>
  <c r="W190" i="4"/>
  <c r="O122" i="11"/>
  <c r="O123" i="11" s="1"/>
  <c r="O154" i="11" s="1"/>
  <c r="U196" i="4"/>
  <c r="N63" i="10" s="1"/>
  <c r="P90" i="11"/>
  <c r="N34" i="10"/>
  <c r="N45" i="10" s="1"/>
  <c r="U190" i="4"/>
  <c r="V196" i="4"/>
  <c r="O63" i="10" s="1"/>
  <c r="Q90" i="11"/>
  <c r="O34" i="10"/>
  <c r="O45" i="10" s="1"/>
  <c r="V190" i="4"/>
  <c r="X196" i="4"/>
  <c r="Q63" i="10" s="1"/>
  <c r="S90" i="11"/>
  <c r="Q34" i="10"/>
  <c r="Q45" i="10" s="1"/>
  <c r="X190" i="4"/>
  <c r="I112" i="11"/>
  <c r="J114" i="11"/>
  <c r="H29" i="13" s="1"/>
  <c r="T32" i="13" s="1"/>
  <c r="O89" i="4"/>
  <c r="J127" i="11"/>
  <c r="H33" i="10"/>
  <c r="P79" i="4" l="1"/>
  <c r="P179" i="4"/>
  <c r="Q77" i="4"/>
  <c r="Q72" i="4"/>
  <c r="Q73" i="4" s="1"/>
  <c r="Q179" i="4" s="1"/>
  <c r="P78" i="4"/>
  <c r="P80" i="4" s="1"/>
  <c r="P201" i="4" s="1"/>
  <c r="I66" i="10" s="1"/>
  <c r="O177" i="4"/>
  <c r="O171" i="4" s="1"/>
  <c r="D125" i="2"/>
  <c r="X32" i="13"/>
  <c r="N29" i="13"/>
  <c r="X17" i="13"/>
  <c r="X19" i="13" s="1"/>
  <c r="N18" i="13"/>
  <c r="Y32" i="13"/>
  <c r="Y17" i="13"/>
  <c r="Y19" i="13" s="1"/>
  <c r="W197" i="4"/>
  <c r="P64" i="10" s="1"/>
  <c r="W90" i="4"/>
  <c r="W95" i="4" s="1"/>
  <c r="R91" i="11"/>
  <c r="R128" i="11"/>
  <c r="X197" i="4"/>
  <c r="Q64" i="10" s="1"/>
  <c r="X90" i="4"/>
  <c r="X95" i="4" s="1"/>
  <c r="S91" i="11"/>
  <c r="S128" i="11"/>
  <c r="V197" i="4"/>
  <c r="O64" i="10" s="1"/>
  <c r="V90" i="4"/>
  <c r="V95" i="4" s="1"/>
  <c r="Q91" i="11"/>
  <c r="Q128" i="11"/>
  <c r="U197" i="4"/>
  <c r="N64" i="10" s="1"/>
  <c r="U90" i="4"/>
  <c r="U95" i="4" s="1"/>
  <c r="P91" i="11"/>
  <c r="P128" i="11"/>
  <c r="L38" i="13"/>
  <c r="S219" i="4"/>
  <c r="S242" i="4" s="1"/>
  <c r="L32" i="13" s="1"/>
  <c r="R219" i="4"/>
  <c r="R242" i="4" s="1"/>
  <c r="K32" i="13" s="1"/>
  <c r="K38" i="13"/>
  <c r="I38" i="13"/>
  <c r="I87" i="11"/>
  <c r="O166" i="4"/>
  <c r="K98" i="10"/>
  <c r="T219" i="4"/>
  <c r="T242" i="4" s="1"/>
  <c r="Q219" i="4"/>
  <c r="Q242" i="4" s="1"/>
  <c r="J32" i="13" s="1"/>
  <c r="J38" i="13"/>
  <c r="F92" i="10"/>
  <c r="I19" i="13"/>
  <c r="H92" i="10"/>
  <c r="K19" i="13"/>
  <c r="J19" i="13"/>
  <c r="G92" i="10"/>
  <c r="I34" i="10"/>
  <c r="I45" i="10" s="1"/>
  <c r="P190" i="4"/>
  <c r="P90" i="4"/>
  <c r="P95" i="4" s="1"/>
  <c r="P196" i="4"/>
  <c r="I63" i="10" s="1"/>
  <c r="J92" i="10"/>
  <c r="L34" i="10"/>
  <c r="L45" i="10" s="1"/>
  <c r="S190" i="4"/>
  <c r="K128" i="11"/>
  <c r="K90" i="11"/>
  <c r="S32" i="10"/>
  <c r="H34" i="10"/>
  <c r="H45" i="10" s="1"/>
  <c r="O190" i="4"/>
  <c r="E92" i="10"/>
  <c r="H45" i="13" s="1"/>
  <c r="T90" i="4"/>
  <c r="T95" i="4" s="1"/>
  <c r="T196" i="4"/>
  <c r="M63" i="10" s="1"/>
  <c r="O128" i="11"/>
  <c r="O90" i="11"/>
  <c r="M34" i="10"/>
  <c r="M45" i="10" s="1"/>
  <c r="T190" i="4"/>
  <c r="S196" i="4"/>
  <c r="L63" i="10" s="1"/>
  <c r="S90" i="4"/>
  <c r="S95" i="4" s="1"/>
  <c r="N90" i="11"/>
  <c r="N128" i="11"/>
  <c r="L19" i="13"/>
  <c r="N19" i="13" s="1"/>
  <c r="I92" i="10"/>
  <c r="R196" i="4"/>
  <c r="K63" i="10" s="1"/>
  <c r="R90" i="4"/>
  <c r="R95" i="4" s="1"/>
  <c r="M128" i="11"/>
  <c r="M90" i="11"/>
  <c r="K34" i="10"/>
  <c r="K45" i="10" s="1"/>
  <c r="R190" i="4"/>
  <c r="Q196" i="4"/>
  <c r="J63" i="10" s="1"/>
  <c r="Q90" i="4"/>
  <c r="Q95" i="4" s="1"/>
  <c r="L128" i="11"/>
  <c r="L90" i="11"/>
  <c r="J34" i="10"/>
  <c r="Q190" i="4"/>
  <c r="O197" i="4"/>
  <c r="H64" i="10" s="1"/>
  <c r="O90" i="4"/>
  <c r="O95" i="4" s="1"/>
  <c r="J91" i="11"/>
  <c r="J128" i="11"/>
  <c r="J147" i="11"/>
  <c r="I147" i="11" s="1"/>
  <c r="J116" i="11"/>
  <c r="I114" i="11"/>
  <c r="E93" i="10"/>
  <c r="H46" i="13" s="1"/>
  <c r="S33" i="10"/>
  <c r="K131" i="11" l="1"/>
  <c r="K95" i="11" s="1"/>
  <c r="I37" i="10"/>
  <c r="R77" i="4"/>
  <c r="R72" i="4"/>
  <c r="R73" i="4" s="1"/>
  <c r="R179" i="4" s="1"/>
  <c r="Q78" i="4"/>
  <c r="L131" i="11"/>
  <c r="L95" i="11" s="1"/>
  <c r="J37" i="10"/>
  <c r="Q79" i="4"/>
  <c r="P92" i="11"/>
  <c r="P105" i="11" s="1"/>
  <c r="P141" i="11"/>
  <c r="R92" i="11"/>
  <c r="R105" i="11" s="1"/>
  <c r="R141" i="11"/>
  <c r="S141" i="11"/>
  <c r="S92" i="11"/>
  <c r="S105" i="11" s="1"/>
  <c r="Q92" i="11"/>
  <c r="Q105" i="11" s="1"/>
  <c r="Q141" i="11"/>
  <c r="I98" i="10"/>
  <c r="L51" i="13" s="1"/>
  <c r="H98" i="10"/>
  <c r="K51" i="13" s="1"/>
  <c r="F98" i="10"/>
  <c r="I51" i="13" s="1"/>
  <c r="H38" i="13"/>
  <c r="O219" i="4"/>
  <c r="O242" i="4" s="1"/>
  <c r="H32" i="13" s="1"/>
  <c r="O200" i="4"/>
  <c r="P200" i="4" s="1"/>
  <c r="Q200" i="4" s="1"/>
  <c r="R200" i="4" s="1"/>
  <c r="S200" i="4" s="1"/>
  <c r="T200" i="4" s="1"/>
  <c r="U200" i="4" s="1"/>
  <c r="V200" i="4" s="1"/>
  <c r="W200" i="4" s="1"/>
  <c r="X200" i="4" s="1"/>
  <c r="J98" i="10"/>
  <c r="G98" i="10"/>
  <c r="J51" i="13" s="1"/>
  <c r="I45" i="13"/>
  <c r="K45" i="13"/>
  <c r="J45" i="13"/>
  <c r="L45" i="13"/>
  <c r="J23" i="13"/>
  <c r="J33" i="13" s="1"/>
  <c r="L20" i="13"/>
  <c r="I23" i="13"/>
  <c r="I33" i="13" s="1"/>
  <c r="J20" i="13"/>
  <c r="K23" i="13"/>
  <c r="K33" i="13" s="1"/>
  <c r="K20" i="13"/>
  <c r="P92" i="10"/>
  <c r="K92" i="11"/>
  <c r="K105" i="11" s="1"/>
  <c r="K141" i="11"/>
  <c r="H19" i="13"/>
  <c r="O92" i="11"/>
  <c r="O105" i="11" s="1"/>
  <c r="O141" i="11"/>
  <c r="L23" i="13"/>
  <c r="N92" i="11"/>
  <c r="N105" i="11" s="1"/>
  <c r="N141" i="11"/>
  <c r="M92" i="11"/>
  <c r="M105" i="11" s="1"/>
  <c r="M141" i="11"/>
  <c r="L92" i="11"/>
  <c r="L105" i="11" s="1"/>
  <c r="L141" i="11"/>
  <c r="J45" i="10"/>
  <c r="S34" i="10"/>
  <c r="S45" i="10" s="1"/>
  <c r="J92" i="11"/>
  <c r="J141" i="11"/>
  <c r="I128" i="11"/>
  <c r="I141" i="11" s="1"/>
  <c r="P93" i="10"/>
  <c r="J121" i="11"/>
  <c r="I116" i="11"/>
  <c r="R79" i="4" l="1"/>
  <c r="N23" i="13"/>
  <c r="L33" i="13"/>
  <c r="R78" i="4"/>
  <c r="S72" i="4"/>
  <c r="S73" i="4" s="1"/>
  <c r="S77" i="4"/>
  <c r="M131" i="11"/>
  <c r="M95" i="11" s="1"/>
  <c r="K37" i="10"/>
  <c r="Q80" i="4"/>
  <c r="Q201" i="4" s="1"/>
  <c r="J66" i="10" s="1"/>
  <c r="L24" i="13"/>
  <c r="K24" i="13"/>
  <c r="J24" i="13"/>
  <c r="H35" i="13"/>
  <c r="J71" i="13" s="1"/>
  <c r="K71" i="13" s="1"/>
  <c r="K35" i="13"/>
  <c r="K36" i="13" s="1"/>
  <c r="N32" i="13"/>
  <c r="E98" i="10"/>
  <c r="J35" i="13"/>
  <c r="J36" i="13" s="1"/>
  <c r="L35" i="13"/>
  <c r="I35" i="13"/>
  <c r="I36" i="13" s="1"/>
  <c r="H20" i="13"/>
  <c r="H23" i="13"/>
  <c r="H33" i="13" s="1"/>
  <c r="I20" i="13"/>
  <c r="J105" i="11"/>
  <c r="I92" i="11"/>
  <c r="I105" i="11" s="1"/>
  <c r="J122" i="11"/>
  <c r="J123" i="11" s="1"/>
  <c r="R80" i="4" l="1"/>
  <c r="R201" i="4" s="1"/>
  <c r="K66" i="10" s="1"/>
  <c r="S79" i="4"/>
  <c r="S179" i="4"/>
  <c r="T77" i="4"/>
  <c r="S78" i="4"/>
  <c r="T72" i="4"/>
  <c r="T73" i="4" s="1"/>
  <c r="T179" i="4" s="1"/>
  <c r="L36" i="13"/>
  <c r="Y21" i="13"/>
  <c r="T21" i="13"/>
  <c r="H24" i="13"/>
  <c r="I24" i="13"/>
  <c r="H36" i="13"/>
  <c r="F33" i="13"/>
  <c r="F35" i="13"/>
  <c r="N35" i="13" s="1"/>
  <c r="G32" i="13"/>
  <c r="P98" i="10"/>
  <c r="H51" i="13"/>
  <c r="N45" i="13"/>
  <c r="J154" i="11"/>
  <c r="I154" i="11" s="1"/>
  <c r="I123" i="11"/>
  <c r="S80" i="4" l="1"/>
  <c r="S201" i="4" s="1"/>
  <c r="L66" i="10" s="1"/>
  <c r="N131" i="11"/>
  <c r="N95" i="11" s="1"/>
  <c r="L37" i="10"/>
  <c r="U72" i="4"/>
  <c r="U73" i="4" s="1"/>
  <c r="U179" i="4" s="1"/>
  <c r="T78" i="4"/>
  <c r="U77" i="4"/>
  <c r="O131" i="11"/>
  <c r="O95" i="11" s="1"/>
  <c r="M37" i="10"/>
  <c r="T79" i="4"/>
  <c r="U21" i="13"/>
  <c r="V21" i="13" s="1"/>
  <c r="W21" i="13" s="1"/>
  <c r="X21" i="13" s="1"/>
  <c r="S21" i="13"/>
  <c r="F36" i="13"/>
  <c r="U79" i="4" l="1"/>
  <c r="P131" i="11"/>
  <c r="P95" i="11" s="1"/>
  <c r="N37" i="10"/>
  <c r="U78" i="4"/>
  <c r="V72" i="4"/>
  <c r="V73" i="4" s="1"/>
  <c r="V77" i="4"/>
  <c r="T80" i="4"/>
  <c r="T201" i="4" s="1"/>
  <c r="M66" i="10" s="1"/>
  <c r="F56" i="13"/>
  <c r="F28" i="8"/>
  <c r="N316" i="4"/>
  <c r="N317" i="4"/>
  <c r="F55" i="13"/>
  <c r="N319" i="4"/>
  <c r="N318" i="4"/>
  <c r="N314" i="4"/>
  <c r="N315" i="4"/>
  <c r="U80" i="4" l="1"/>
  <c r="U201" i="4" s="1"/>
  <c r="N66" i="10" s="1"/>
  <c r="V79" i="4"/>
  <c r="V179" i="4"/>
  <c r="W77" i="4"/>
  <c r="V78" i="4"/>
  <c r="W72" i="4"/>
  <c r="W73" i="4" s="1"/>
  <c r="W179" i="4" s="1"/>
  <c r="D123" i="4"/>
  <c r="O123" i="4" s="1"/>
  <c r="E28" i="8"/>
  <c r="D28" i="8" s="1"/>
  <c r="G28" i="8"/>
  <c r="H28" i="8" s="1"/>
  <c r="V80" i="4" l="1"/>
  <c r="V201" i="4" s="1"/>
  <c r="O66" i="10" s="1"/>
  <c r="Q131" i="11"/>
  <c r="Q95" i="11" s="1"/>
  <c r="O37" i="10"/>
  <c r="W78" i="4"/>
  <c r="X72" i="4"/>
  <c r="X73" i="4" s="1"/>
  <c r="X179" i="4" s="1"/>
  <c r="X77" i="4"/>
  <c r="X78" i="4" s="1"/>
  <c r="R131" i="11"/>
  <c r="R95" i="11" s="1"/>
  <c r="P37" i="10"/>
  <c r="W79" i="4"/>
  <c r="P123" i="4"/>
  <c r="O148" i="4"/>
  <c r="O151" i="4" s="1"/>
  <c r="D55" i="2"/>
  <c r="E17" i="10" s="1"/>
  <c r="D50" i="2"/>
  <c r="F57" i="13" s="1"/>
  <c r="F59" i="13"/>
  <c r="X79" i="4" l="1"/>
  <c r="X80" i="4" s="1"/>
  <c r="X201" i="4" s="1"/>
  <c r="Q66" i="10" s="1"/>
  <c r="Q37" i="10"/>
  <c r="S37" i="10" s="1"/>
  <c r="S131" i="11"/>
  <c r="S95" i="11" s="1"/>
  <c r="W80" i="4"/>
  <c r="W201" i="4" s="1"/>
  <c r="P66" i="10" s="1"/>
  <c r="O157" i="4"/>
  <c r="O182" i="4"/>
  <c r="P148" i="4"/>
  <c r="P151" i="4" s="1"/>
  <c r="Q123" i="4"/>
  <c r="D56" i="2"/>
  <c r="E18" i="10" s="1"/>
  <c r="G67" i="13"/>
  <c r="G68" i="13" l="1"/>
  <c r="E21" i="10"/>
  <c r="O92" i="4"/>
  <c r="H35" i="10"/>
  <c r="E94" i="10" s="1"/>
  <c r="J129" i="11"/>
  <c r="O178" i="4"/>
  <c r="J134" i="11"/>
  <c r="J98" i="11" s="1"/>
  <c r="O224" i="4"/>
  <c r="O246" i="4" s="1"/>
  <c r="H40" i="10"/>
  <c r="E101" i="10" s="1"/>
  <c r="P182" i="4"/>
  <c r="P157" i="4"/>
  <c r="P171" i="4" s="1"/>
  <c r="Q148" i="4"/>
  <c r="Q151" i="4" s="1"/>
  <c r="R123" i="4"/>
  <c r="I206" i="4"/>
  <c r="H208" i="4"/>
  <c r="H211" i="4" s="1"/>
  <c r="I130" i="4"/>
  <c r="N130" i="4" s="1"/>
  <c r="N204" i="4"/>
  <c r="F18" i="10" l="1"/>
  <c r="F19" i="10"/>
  <c r="E24" i="10"/>
  <c r="J195" i="4" s="1"/>
  <c r="J199" i="4" s="1"/>
  <c r="E27" i="10"/>
  <c r="I195" i="4"/>
  <c r="I202" i="4" s="1"/>
  <c r="I207" i="4"/>
  <c r="G71" i="13"/>
  <c r="J93" i="11"/>
  <c r="J130" i="11"/>
  <c r="O203" i="4"/>
  <c r="H68" i="10" s="1"/>
  <c r="O93" i="4"/>
  <c r="O96" i="4" s="1"/>
  <c r="O97" i="4" s="1"/>
  <c r="O99" i="4" s="1"/>
  <c r="O217" i="4" s="1"/>
  <c r="O240" i="4" s="1"/>
  <c r="E96" i="10" s="1"/>
  <c r="H49" i="13" s="1"/>
  <c r="H36" i="10"/>
  <c r="O180" i="4"/>
  <c r="H38" i="10" s="1"/>
  <c r="O191" i="4"/>
  <c r="O216" i="4"/>
  <c r="O239" i="4" s="1"/>
  <c r="O304" i="4"/>
  <c r="O306" i="4" s="1"/>
  <c r="O314" i="4" s="1"/>
  <c r="K129" i="11"/>
  <c r="P178" i="4"/>
  <c r="P92" i="4"/>
  <c r="I35" i="10"/>
  <c r="F94" i="10" s="1"/>
  <c r="K134" i="11"/>
  <c r="K98" i="11" s="1"/>
  <c r="P224" i="4"/>
  <c r="P246" i="4" s="1"/>
  <c r="I40" i="10"/>
  <c r="F101" i="10" s="1"/>
  <c r="Q157" i="4"/>
  <c r="Q171" i="4" s="1"/>
  <c r="Q182" i="4"/>
  <c r="R148" i="4"/>
  <c r="R151" i="4" s="1"/>
  <c r="S123" i="4"/>
  <c r="I116" i="4"/>
  <c r="N116" i="4" s="1"/>
  <c r="O113" i="4" s="1"/>
  <c r="N206" i="4"/>
  <c r="I328" i="4"/>
  <c r="N328" i="4" s="1"/>
  <c r="O332" i="4" s="1"/>
  <c r="E128" i="10" s="1"/>
  <c r="K128" i="10" s="1"/>
  <c r="H110" i="4"/>
  <c r="N110" i="4" s="1"/>
  <c r="O107" i="4" s="1"/>
  <c r="H327" i="4"/>
  <c r="N327" i="4" s="1"/>
  <c r="O331" i="4" s="1"/>
  <c r="N208" i="4"/>
  <c r="H195" i="4"/>
  <c r="H202" i="4" s="1"/>
  <c r="H213" i="4" s="1"/>
  <c r="F20" i="10"/>
  <c r="F25" i="10"/>
  <c r="F26" i="10"/>
  <c r="F21" i="10"/>
  <c r="F17" i="10"/>
  <c r="N158" i="4"/>
  <c r="O154" i="4" s="1"/>
  <c r="O127" i="4"/>
  <c r="O136" i="4" s="1"/>
  <c r="N307" i="4"/>
  <c r="H63" i="5"/>
  <c r="E338" i="10" s="1"/>
  <c r="F344" i="10" s="1"/>
  <c r="E95" i="10"/>
  <c r="H47" i="13"/>
  <c r="I213" i="4" l="1"/>
  <c r="J142" i="11"/>
  <c r="J148" i="11"/>
  <c r="J132" i="11"/>
  <c r="J96" i="11" s="1"/>
  <c r="J94" i="11"/>
  <c r="H46" i="10"/>
  <c r="H51" i="10" s="1"/>
  <c r="H50" i="10"/>
  <c r="K130" i="11"/>
  <c r="K93" i="11"/>
  <c r="I36" i="10"/>
  <c r="P191" i="4"/>
  <c r="P180" i="4"/>
  <c r="I38" i="10" s="1"/>
  <c r="P304" i="4"/>
  <c r="P306" i="4" s="1"/>
  <c r="P315" i="4" s="1"/>
  <c r="P216" i="4"/>
  <c r="P239" i="4" s="1"/>
  <c r="P203" i="4"/>
  <c r="I68" i="10" s="1"/>
  <c r="P93" i="4"/>
  <c r="P96" i="4" s="1"/>
  <c r="P97" i="4" s="1"/>
  <c r="P99" i="4" s="1"/>
  <c r="P217" i="4" s="1"/>
  <c r="P240" i="4" s="1"/>
  <c r="F96" i="10" s="1"/>
  <c r="I49" i="13" s="1"/>
  <c r="N207" i="4"/>
  <c r="L129" i="11"/>
  <c r="Q92" i="4"/>
  <c r="Q178" i="4"/>
  <c r="J35" i="10"/>
  <c r="G94" i="10" s="1"/>
  <c r="L134" i="11"/>
  <c r="L98" i="11" s="1"/>
  <c r="Q224" i="4"/>
  <c r="Q246" i="4" s="1"/>
  <c r="J40" i="10"/>
  <c r="G101" i="10" s="1"/>
  <c r="R157" i="4"/>
  <c r="R171" i="4" s="1"/>
  <c r="R182" i="4"/>
  <c r="S148" i="4"/>
  <c r="S151" i="4" s="1"/>
  <c r="T123" i="4"/>
  <c r="O119" i="4"/>
  <c r="O281" i="4"/>
  <c r="N211" i="4"/>
  <c r="F27" i="10"/>
  <c r="E226" i="10"/>
  <c r="P226" i="10" s="1"/>
  <c r="E113" i="10"/>
  <c r="E229" i="10"/>
  <c r="H48" i="13"/>
  <c r="D314" i="4"/>
  <c r="E314" i="4"/>
  <c r="I47" i="13"/>
  <c r="F95" i="10"/>
  <c r="J146" i="11" l="1"/>
  <c r="J106" i="11"/>
  <c r="L130" i="11"/>
  <c r="L93" i="11"/>
  <c r="Q203" i="4"/>
  <c r="J68" i="10" s="1"/>
  <c r="Q93" i="4"/>
  <c r="Q96" i="4" s="1"/>
  <c r="Q97" i="4" s="1"/>
  <c r="Q99" i="4" s="1"/>
  <c r="Q217" i="4" s="1"/>
  <c r="Q240" i="4" s="1"/>
  <c r="G96" i="10" s="1"/>
  <c r="J49" i="13" s="1"/>
  <c r="K148" i="11"/>
  <c r="K132" i="11"/>
  <c r="K96" i="11" s="1"/>
  <c r="K94" i="11"/>
  <c r="K142" i="11"/>
  <c r="I50" i="10"/>
  <c r="I46" i="10"/>
  <c r="I51" i="10" s="1"/>
  <c r="Q180" i="4"/>
  <c r="J38" i="10" s="1"/>
  <c r="Q304" i="4"/>
  <c r="Q306" i="4" s="1"/>
  <c r="Q316" i="4" s="1"/>
  <c r="Q191" i="4"/>
  <c r="Q216" i="4"/>
  <c r="Q239" i="4" s="1"/>
  <c r="J36" i="10"/>
  <c r="J47" i="13"/>
  <c r="G95" i="10"/>
  <c r="M129" i="11"/>
  <c r="K35" i="10"/>
  <c r="H94" i="10" s="1"/>
  <c r="R92" i="4"/>
  <c r="R178" i="4"/>
  <c r="M134" i="11"/>
  <c r="M98" i="11" s="1"/>
  <c r="R224" i="4"/>
  <c r="R246" i="4" s="1"/>
  <c r="K40" i="10"/>
  <c r="H101" i="10" s="1"/>
  <c r="S157" i="4"/>
  <c r="S171" i="4" s="1"/>
  <c r="S182" i="4"/>
  <c r="T148" i="4"/>
  <c r="T151" i="4" s="1"/>
  <c r="U123" i="4"/>
  <c r="O272" i="4"/>
  <c r="O183" i="4"/>
  <c r="O156" i="4"/>
  <c r="O181" i="4" s="1"/>
  <c r="E244" i="10"/>
  <c r="E234" i="10"/>
  <c r="H30" i="13"/>
  <c r="T33" i="13" s="1"/>
  <c r="E315" i="4"/>
  <c r="D315" i="4"/>
  <c r="I48" i="13"/>
  <c r="I30" i="13" s="1"/>
  <c r="U33" i="13" s="1"/>
  <c r="F229" i="10"/>
  <c r="F113" i="10"/>
  <c r="J151" i="11" l="1"/>
  <c r="J150" i="11"/>
  <c r="J50" i="10"/>
  <c r="J46" i="10"/>
  <c r="J51" i="10" s="1"/>
  <c r="G229" i="10"/>
  <c r="G234" i="10" s="1"/>
  <c r="G113" i="10"/>
  <c r="J48" i="13"/>
  <c r="J30" i="13" s="1"/>
  <c r="V33" i="13" s="1"/>
  <c r="M93" i="11"/>
  <c r="M130" i="11"/>
  <c r="R203" i="4"/>
  <c r="K68" i="10" s="1"/>
  <c r="R93" i="4"/>
  <c r="R96" i="4" s="1"/>
  <c r="R97" i="4" s="1"/>
  <c r="R99" i="4" s="1"/>
  <c r="R217" i="4" s="1"/>
  <c r="R240" i="4" s="1"/>
  <c r="H96" i="10" s="1"/>
  <c r="K49" i="13" s="1"/>
  <c r="L94" i="11"/>
  <c r="L132" i="11"/>
  <c r="L96" i="11" s="1"/>
  <c r="L142" i="11"/>
  <c r="L148" i="11"/>
  <c r="K106" i="11"/>
  <c r="K146" i="11"/>
  <c r="R304" i="4"/>
  <c r="R306" i="4" s="1"/>
  <c r="R317" i="4" s="1"/>
  <c r="R180" i="4"/>
  <c r="K38" i="10" s="1"/>
  <c r="R216" i="4"/>
  <c r="R239" i="4" s="1"/>
  <c r="K36" i="10"/>
  <c r="R191" i="4"/>
  <c r="S178" i="4"/>
  <c r="L35" i="10"/>
  <c r="I94" i="10" s="1"/>
  <c r="S92" i="4"/>
  <c r="N129" i="11"/>
  <c r="L40" i="10"/>
  <c r="I101" i="10" s="1"/>
  <c r="N134" i="11"/>
  <c r="N98" i="11" s="1"/>
  <c r="S224" i="4"/>
  <c r="S246" i="4" s="1"/>
  <c r="T182" i="4"/>
  <c r="T157" i="4"/>
  <c r="T171" i="4" s="1"/>
  <c r="U148" i="4"/>
  <c r="U151" i="4" s="1"/>
  <c r="V123" i="4"/>
  <c r="O225" i="4"/>
  <c r="O247" i="4" s="1"/>
  <c r="J135" i="11"/>
  <c r="J99" i="11" s="1"/>
  <c r="O185" i="4"/>
  <c r="O102" i="4" s="1"/>
  <c r="O104" i="4" s="1"/>
  <c r="O186" i="4" s="1"/>
  <c r="H61" i="13"/>
  <c r="H62" i="13"/>
  <c r="H39" i="10"/>
  <c r="J133" i="11"/>
  <c r="O223" i="4"/>
  <c r="O245" i="4" s="1"/>
  <c r="H55" i="13"/>
  <c r="H56" i="13"/>
  <c r="H26" i="13"/>
  <c r="D316" i="4"/>
  <c r="E316" i="4"/>
  <c r="H95" i="10"/>
  <c r="K47" i="13"/>
  <c r="I55" i="13"/>
  <c r="I56" i="13"/>
  <c r="I26" i="13"/>
  <c r="F234" i="10"/>
  <c r="H27" i="13" l="1"/>
  <c r="T31" i="13"/>
  <c r="I27" i="13"/>
  <c r="U31" i="13"/>
  <c r="M132" i="11"/>
  <c r="M96" i="11" s="1"/>
  <c r="M142" i="11"/>
  <c r="M148" i="11"/>
  <c r="M94" i="11"/>
  <c r="L106" i="11"/>
  <c r="L146" i="11"/>
  <c r="K151" i="11"/>
  <c r="K150" i="11"/>
  <c r="K50" i="10"/>
  <c r="K46" i="10"/>
  <c r="K51" i="10" s="1"/>
  <c r="S304" i="4"/>
  <c r="S306" i="4" s="1"/>
  <c r="S318" i="4" s="1"/>
  <c r="S216" i="4"/>
  <c r="S239" i="4" s="1"/>
  <c r="S191" i="4"/>
  <c r="L36" i="10"/>
  <c r="S180" i="4"/>
  <c r="L38" i="10" s="1"/>
  <c r="V148" i="4"/>
  <c r="V151" i="4" s="1"/>
  <c r="W123" i="4"/>
  <c r="I95" i="10"/>
  <c r="L47" i="13"/>
  <c r="S93" i="4"/>
  <c r="S96" i="4" s="1"/>
  <c r="S97" i="4" s="1"/>
  <c r="S99" i="4" s="1"/>
  <c r="S217" i="4" s="1"/>
  <c r="S240" i="4" s="1"/>
  <c r="I96" i="10" s="1"/>
  <c r="L49" i="13" s="1"/>
  <c r="S203" i="4"/>
  <c r="L68" i="10" s="1"/>
  <c r="N130" i="11"/>
  <c r="N93" i="11"/>
  <c r="T178" i="4"/>
  <c r="O129" i="11"/>
  <c r="T92" i="4"/>
  <c r="M35" i="10"/>
  <c r="J94" i="10" s="1"/>
  <c r="T224" i="4"/>
  <c r="T246" i="4" s="1"/>
  <c r="M40" i="10"/>
  <c r="J101" i="10" s="1"/>
  <c r="O134" i="11"/>
  <c r="O98" i="11" s="1"/>
  <c r="U157" i="4"/>
  <c r="U171" i="4" s="1"/>
  <c r="U182" i="4"/>
  <c r="J138" i="11"/>
  <c r="J102" i="11" s="1"/>
  <c r="H42" i="10"/>
  <c r="O218" i="4"/>
  <c r="O220" i="4" s="1"/>
  <c r="H26" i="5" s="1"/>
  <c r="E264" i="10" s="1"/>
  <c r="E271" i="10" s="1"/>
  <c r="O241" i="4"/>
  <c r="O187" i="4"/>
  <c r="H41" i="10"/>
  <c r="E100" i="10"/>
  <c r="J137" i="11"/>
  <c r="J97" i="11"/>
  <c r="H113" i="10"/>
  <c r="K48" i="13"/>
  <c r="H229" i="10"/>
  <c r="D317" i="4"/>
  <c r="E317" i="4"/>
  <c r="J56" i="13"/>
  <c r="J55" i="13"/>
  <c r="J26" i="13"/>
  <c r="J27" i="13" l="1"/>
  <c r="V31" i="13"/>
  <c r="E339" i="10"/>
  <c r="F345" i="10" s="1"/>
  <c r="H43" i="10"/>
  <c r="I113" i="10"/>
  <c r="L48" i="13"/>
  <c r="L30" i="13" s="1"/>
  <c r="I229" i="10"/>
  <c r="I234" i="10" s="1"/>
  <c r="M146" i="11"/>
  <c r="M106" i="11"/>
  <c r="L151" i="11"/>
  <c r="L150" i="11"/>
  <c r="L46" i="10"/>
  <c r="L51" i="10" s="1"/>
  <c r="L50" i="10"/>
  <c r="V182" i="4"/>
  <c r="V157" i="4"/>
  <c r="V171" i="4" s="1"/>
  <c r="W148" i="4"/>
  <c r="W151" i="4" s="1"/>
  <c r="X123" i="4"/>
  <c r="X148" i="4" s="1"/>
  <c r="X151" i="4" s="1"/>
  <c r="N40" i="10"/>
  <c r="K101" i="10" s="1"/>
  <c r="P134" i="11"/>
  <c r="P98" i="11" s="1"/>
  <c r="U224" i="4"/>
  <c r="U246" i="4" s="1"/>
  <c r="N148" i="11"/>
  <c r="N142" i="11"/>
  <c r="N132" i="11"/>
  <c r="N96" i="11" s="1"/>
  <c r="N94" i="11"/>
  <c r="T216" i="4"/>
  <c r="T239" i="4" s="1"/>
  <c r="T304" i="4"/>
  <c r="T306" i="4" s="1"/>
  <c r="T319" i="4" s="1"/>
  <c r="T180" i="4"/>
  <c r="M38" i="10" s="1"/>
  <c r="T191" i="4"/>
  <c r="M36" i="10"/>
  <c r="O130" i="11"/>
  <c r="O93" i="11"/>
  <c r="T93" i="4"/>
  <c r="T96" i="4" s="1"/>
  <c r="T97" i="4" s="1"/>
  <c r="T99" i="4" s="1"/>
  <c r="T217" i="4" s="1"/>
  <c r="T240" i="4" s="1"/>
  <c r="J96" i="10" s="1"/>
  <c r="T203" i="4"/>
  <c r="M68" i="10" s="1"/>
  <c r="U178" i="4"/>
  <c r="N35" i="10"/>
  <c r="K94" i="10" s="1"/>
  <c r="K95" i="10" s="1"/>
  <c r="P129" i="11"/>
  <c r="U92" i="4"/>
  <c r="E97" i="10"/>
  <c r="H50" i="13" s="1"/>
  <c r="O243" i="4"/>
  <c r="O209" i="4"/>
  <c r="O192" i="4"/>
  <c r="J139" i="11"/>
  <c r="J101" i="11"/>
  <c r="K30" i="13"/>
  <c r="W33" i="13" s="1"/>
  <c r="H234" i="10"/>
  <c r="D318" i="4"/>
  <c r="E318" i="4"/>
  <c r="J95" i="10"/>
  <c r="X33" i="13" l="1"/>
  <c r="N30" i="13"/>
  <c r="Q129" i="11"/>
  <c r="O35" i="10"/>
  <c r="L94" i="10" s="1"/>
  <c r="H47" i="10"/>
  <c r="H73" i="10"/>
  <c r="L55" i="13"/>
  <c r="L56" i="13"/>
  <c r="L26" i="13"/>
  <c r="M150" i="11"/>
  <c r="M151" i="11"/>
  <c r="V92" i="4"/>
  <c r="V178" i="4"/>
  <c r="O40" i="10"/>
  <c r="L101" i="10" s="1"/>
  <c r="Q134" i="11"/>
  <c r="Q98" i="11" s="1"/>
  <c r="V224" i="4"/>
  <c r="V246" i="4" s="1"/>
  <c r="W157" i="4"/>
  <c r="W171" i="4" s="1"/>
  <c r="W182" i="4"/>
  <c r="X157" i="4"/>
  <c r="X171" i="4" s="1"/>
  <c r="X182" i="4"/>
  <c r="Q35" i="10"/>
  <c r="N94" i="10" s="1"/>
  <c r="N95" i="10" s="1"/>
  <c r="N106" i="11"/>
  <c r="N146" i="11"/>
  <c r="M50" i="10"/>
  <c r="M46" i="10"/>
  <c r="M51" i="10" s="1"/>
  <c r="O148" i="11"/>
  <c r="O142" i="11"/>
  <c r="O132" i="11"/>
  <c r="O96" i="11" s="1"/>
  <c r="O94" i="11"/>
  <c r="U180" i="4"/>
  <c r="N38" i="10" s="1"/>
  <c r="U216" i="4"/>
  <c r="U239" i="4" s="1"/>
  <c r="U304" i="4"/>
  <c r="U306" i="4" s="1"/>
  <c r="N36" i="10"/>
  <c r="U191" i="4"/>
  <c r="P130" i="11"/>
  <c r="P93" i="11"/>
  <c r="U93" i="4"/>
  <c r="U96" i="4" s="1"/>
  <c r="U97" i="4" s="1"/>
  <c r="U99" i="4" s="1"/>
  <c r="U217" i="4" s="1"/>
  <c r="U240" i="4" s="1"/>
  <c r="K96" i="10" s="1"/>
  <c r="U203" i="4"/>
  <c r="N68" i="10" s="1"/>
  <c r="O132" i="4"/>
  <c r="E99" i="10"/>
  <c r="E110" i="10" s="1"/>
  <c r="J143" i="11"/>
  <c r="J155" i="11"/>
  <c r="J103" i="11"/>
  <c r="K55" i="13"/>
  <c r="K56" i="13"/>
  <c r="K26" i="13"/>
  <c r="D319" i="4"/>
  <c r="D321" i="4" s="1"/>
  <c r="D6" i="2" s="1"/>
  <c r="E319" i="4"/>
  <c r="D322" i="4" s="1"/>
  <c r="J113" i="10"/>
  <c r="J229" i="10"/>
  <c r="K229" i="10"/>
  <c r="K234" i="10" s="1"/>
  <c r="K113" i="10"/>
  <c r="N26" i="13" l="1"/>
  <c r="G61" i="12"/>
  <c r="L27" i="13"/>
  <c r="X31" i="13"/>
  <c r="K27" i="13"/>
  <c r="W31" i="13"/>
  <c r="Q130" i="11"/>
  <c r="Q94" i="11" s="1"/>
  <c r="Q93" i="11"/>
  <c r="O106" i="11"/>
  <c r="O146" i="11"/>
  <c r="V93" i="4"/>
  <c r="V96" i="4" s="1"/>
  <c r="V97" i="4" s="1"/>
  <c r="V99" i="4" s="1"/>
  <c r="V217" i="4" s="1"/>
  <c r="V240" i="4" s="1"/>
  <c r="L96" i="10" s="1"/>
  <c r="V203" i="4"/>
  <c r="O68" i="10" s="1"/>
  <c r="V180" i="4"/>
  <c r="O38" i="10" s="1"/>
  <c r="V191" i="4"/>
  <c r="V216" i="4"/>
  <c r="V239" i="4" s="1"/>
  <c r="V304" i="4"/>
  <c r="V306" i="4" s="1"/>
  <c r="O36" i="10"/>
  <c r="R134" i="11"/>
  <c r="R98" i="11" s="1"/>
  <c r="W224" i="4"/>
  <c r="W246" i="4" s="1"/>
  <c r="P40" i="10"/>
  <c r="M101" i="10" s="1"/>
  <c r="W178" i="4"/>
  <c r="P35" i="10"/>
  <c r="R129" i="11"/>
  <c r="W92" i="4"/>
  <c r="X224" i="4"/>
  <c r="X246" i="4" s="1"/>
  <c r="S134" i="11"/>
  <c r="S98" i="11" s="1"/>
  <c r="Q40" i="10"/>
  <c r="N101" i="10" s="1"/>
  <c r="X92" i="4"/>
  <c r="S129" i="11"/>
  <c r="X178" i="4"/>
  <c r="N46" i="10"/>
  <c r="N51" i="10" s="1"/>
  <c r="N50" i="10"/>
  <c r="N150" i="11"/>
  <c r="N151" i="11"/>
  <c r="P132" i="11"/>
  <c r="P96" i="11" s="1"/>
  <c r="P148" i="11"/>
  <c r="P142" i="11"/>
  <c r="P94" i="11"/>
  <c r="O137" i="4"/>
  <c r="O135" i="4" s="1"/>
  <c r="O140" i="4"/>
  <c r="H52" i="13"/>
  <c r="H40" i="13" s="1"/>
  <c r="E114" i="10"/>
  <c r="E109" i="10"/>
  <c r="E115" i="10" s="1"/>
  <c r="J107" i="11"/>
  <c r="J153" i="11"/>
  <c r="D6" i="11"/>
  <c r="D6" i="4" s="1"/>
  <c r="D6" i="12"/>
  <c r="E6" i="10"/>
  <c r="F6" i="13"/>
  <c r="J234" i="10"/>
  <c r="N229" i="10"/>
  <c r="N234" i="10" s="1"/>
  <c r="N113" i="10"/>
  <c r="L95" i="10"/>
  <c r="X35" i="13" l="1"/>
  <c r="W35" i="13"/>
  <c r="V35" i="13"/>
  <c r="U35" i="13"/>
  <c r="T35" i="13"/>
  <c r="S35" i="13"/>
  <c r="N48" i="13"/>
  <c r="Y33" i="13"/>
  <c r="Q142" i="11"/>
  <c r="Q148" i="11"/>
  <c r="Q132" i="11"/>
  <c r="Q96" i="11" s="1"/>
  <c r="O151" i="11"/>
  <c r="O150" i="11"/>
  <c r="P101" i="10"/>
  <c r="S40" i="10"/>
  <c r="O46" i="10"/>
  <c r="O51" i="10" s="1"/>
  <c r="O50" i="10"/>
  <c r="R93" i="11"/>
  <c r="R130" i="11"/>
  <c r="W180" i="4"/>
  <c r="P38" i="10" s="1"/>
  <c r="W191" i="4"/>
  <c r="W216" i="4"/>
  <c r="W239" i="4" s="1"/>
  <c r="W304" i="4"/>
  <c r="W306" i="4" s="1"/>
  <c r="P36" i="10"/>
  <c r="M94" i="10"/>
  <c r="S35" i="10"/>
  <c r="W203" i="4"/>
  <c r="P68" i="10" s="1"/>
  <c r="W93" i="4"/>
  <c r="W96" i="4" s="1"/>
  <c r="W97" i="4" s="1"/>
  <c r="W99" i="4" s="1"/>
  <c r="W217" i="4" s="1"/>
  <c r="W240" i="4" s="1"/>
  <c r="M96" i="10" s="1"/>
  <c r="X93" i="4"/>
  <c r="X96" i="4" s="1"/>
  <c r="X97" i="4" s="1"/>
  <c r="X203" i="4"/>
  <c r="Q68" i="10" s="1"/>
  <c r="S130" i="11"/>
  <c r="S93" i="11"/>
  <c r="X180" i="4"/>
  <c r="Q38" i="10" s="1"/>
  <c r="X191" i="4"/>
  <c r="X304" i="4"/>
  <c r="X306" i="4" s="1"/>
  <c r="X216" i="4"/>
  <c r="X239" i="4" s="1"/>
  <c r="Q36" i="10"/>
  <c r="J158" i="11"/>
  <c r="J157" i="11"/>
  <c r="P106" i="11"/>
  <c r="P146" i="11"/>
  <c r="O139" i="4"/>
  <c r="O129" i="4"/>
  <c r="O130" i="4" s="1"/>
  <c r="E245" i="10"/>
  <c r="E246" i="10" s="1"/>
  <c r="H41" i="13"/>
  <c r="H42" i="13"/>
  <c r="Q146" i="11"/>
  <c r="Q106" i="11"/>
  <c r="L113" i="10"/>
  <c r="L229" i="10"/>
  <c r="Y31" i="13" l="1"/>
  <c r="D4" i="2"/>
  <c r="Q151" i="11"/>
  <c r="Q150" i="11"/>
  <c r="X99" i="4"/>
  <c r="X217" i="4" s="1"/>
  <c r="X240" i="4" s="1"/>
  <c r="R94" i="11"/>
  <c r="R142" i="11"/>
  <c r="R148" i="11"/>
  <c r="R132" i="11"/>
  <c r="R96" i="11" s="1"/>
  <c r="P50" i="10"/>
  <c r="P46" i="10"/>
  <c r="P51" i="10" s="1"/>
  <c r="M95" i="10"/>
  <c r="P94" i="10"/>
  <c r="I130" i="11"/>
  <c r="I142" i="11" s="1"/>
  <c r="S142" i="11"/>
  <c r="S148" i="11"/>
  <c r="S94" i="11"/>
  <c r="S132" i="11"/>
  <c r="S36" i="10"/>
  <c r="S46" i="10" s="1"/>
  <c r="Q50" i="10"/>
  <c r="Q46" i="10"/>
  <c r="Q51" i="10" s="1"/>
  <c r="E251" i="10"/>
  <c r="O141" i="4"/>
  <c r="H63" i="13"/>
  <c r="E227" i="10"/>
  <c r="E228" i="10" s="1"/>
  <c r="O155" i="4"/>
  <c r="O158" i="4" s="1"/>
  <c r="P151" i="11"/>
  <c r="P150" i="11"/>
  <c r="S38" i="10"/>
  <c r="L234" i="10"/>
  <c r="D4" i="12" l="1"/>
  <c r="D4" i="11"/>
  <c r="D4" i="4" s="1"/>
  <c r="E4" i="10"/>
  <c r="F4" i="13"/>
  <c r="I148" i="11"/>
  <c r="R106" i="11"/>
  <c r="R146" i="11"/>
  <c r="P95" i="10"/>
  <c r="M113" i="10"/>
  <c r="M229" i="10"/>
  <c r="I94" i="11"/>
  <c r="I106" i="11" s="1"/>
  <c r="S106" i="11"/>
  <c r="S146" i="11"/>
  <c r="I132" i="11"/>
  <c r="S96" i="11"/>
  <c r="I96" i="11" s="1"/>
  <c r="E230" i="10"/>
  <c r="E235" i="10" s="1"/>
  <c r="E233" i="10"/>
  <c r="O204" i="4"/>
  <c r="O125" i="4"/>
  <c r="P127" i="4"/>
  <c r="N96" i="10"/>
  <c r="P96" i="10" s="1"/>
  <c r="P229" i="10" l="1"/>
  <c r="M234" i="10"/>
  <c r="R151" i="11"/>
  <c r="R150" i="11"/>
  <c r="I146" i="11"/>
  <c r="S150" i="11"/>
  <c r="S151" i="11"/>
  <c r="H69" i="10"/>
  <c r="O229" i="4"/>
  <c r="O250" i="4" s="1"/>
  <c r="I31" i="5"/>
  <c r="I48" i="5" s="1"/>
  <c r="I63" i="5"/>
  <c r="O307" i="4"/>
  <c r="P136" i="4"/>
  <c r="F225" i="10"/>
  <c r="I151" i="11" l="1"/>
  <c r="I150" i="11"/>
  <c r="H59" i="13"/>
  <c r="H81" i="10"/>
  <c r="H78" i="10"/>
  <c r="O267" i="4"/>
  <c r="E102" i="10"/>
  <c r="P156" i="4"/>
  <c r="P181" i="4" s="1"/>
  <c r="F244" i="10"/>
  <c r="H57" i="13" l="1"/>
  <c r="H82" i="10"/>
  <c r="I61" i="13"/>
  <c r="P223" i="4"/>
  <c r="P245" i="4" s="1"/>
  <c r="I62" i="13"/>
  <c r="K133" i="11"/>
  <c r="K97" i="11" s="1"/>
  <c r="J140" i="10" l="1"/>
  <c r="J141" i="10"/>
  <c r="J142" i="10" s="1"/>
  <c r="D16" i="8" l="1"/>
  <c r="H16" i="8"/>
  <c r="H40" i="8" s="1"/>
  <c r="M40" i="8" s="1"/>
  <c r="L16" i="8" l="1"/>
  <c r="D40" i="8"/>
  <c r="K16" i="8"/>
  <c r="E16" i="8"/>
  <c r="E40" i="8" s="1"/>
  <c r="M16" i="8"/>
  <c r="G16" i="8"/>
  <c r="G40" i="8" s="1"/>
  <c r="L40" i="8" l="1"/>
  <c r="K40" i="8"/>
  <c r="D12" i="8" l="1"/>
  <c r="H12" i="8"/>
  <c r="H36" i="8" s="1"/>
  <c r="M36" i="8" s="1"/>
  <c r="H13" i="8"/>
  <c r="H37" i="8" s="1"/>
  <c r="M37" i="8" s="1"/>
  <c r="D13" i="8"/>
  <c r="L12" i="8" l="1"/>
  <c r="D36" i="8"/>
  <c r="L13" i="8"/>
  <c r="D37" i="8"/>
  <c r="K12" i="8"/>
  <c r="E12" i="8"/>
  <c r="E36" i="8" s="1"/>
  <c r="M12" i="8"/>
  <c r="G12" i="8"/>
  <c r="G36" i="8" s="1"/>
  <c r="M13" i="8"/>
  <c r="G13" i="8"/>
  <c r="G37" i="8" s="1"/>
  <c r="K13" i="8"/>
  <c r="E13" i="8"/>
  <c r="E37" i="8" s="1"/>
  <c r="L36" i="8" l="1"/>
  <c r="K36" i="8"/>
  <c r="L37" i="8"/>
  <c r="K37" i="8"/>
  <c r="D67" i="13" l="1"/>
  <c r="D71" i="13" s="1"/>
  <c r="F24" i="10"/>
  <c r="N195" i="4" l="1"/>
  <c r="O257" i="4" l="1"/>
  <c r="N308" i="4" l="1"/>
  <c r="N309" i="4" s="1"/>
  <c r="N311" i="4" s="1"/>
  <c r="F60" i="13"/>
  <c r="F76" i="8"/>
  <c r="F58" i="13"/>
  <c r="O268" i="4"/>
  <c r="O269" i="4" s="1"/>
  <c r="O273" i="4" s="1"/>
  <c r="E106" i="10"/>
  <c r="E247" i="10" s="1"/>
  <c r="E76" i="8" l="1"/>
  <c r="D76" i="8" s="1"/>
  <c r="G76" i="8"/>
  <c r="H76" i="8" s="1"/>
  <c r="E252" i="10"/>
  <c r="E248" i="10"/>
  <c r="E253" i="10" s="1"/>
  <c r="O274" i="4"/>
  <c r="O335" i="4"/>
  <c r="E130" i="10" s="1"/>
  <c r="O205" i="4" l="1"/>
  <c r="O230" i="4" s="1"/>
  <c r="O251" i="4" s="1"/>
  <c r="P271" i="4"/>
  <c r="O276" i="4"/>
  <c r="O278" i="4" l="1"/>
  <c r="O115" i="4" l="1"/>
  <c r="O283" i="4" s="1"/>
  <c r="O334" i="4"/>
  <c r="O279" i="4"/>
  <c r="O286" i="4" s="1"/>
  <c r="E129" i="10" l="1"/>
  <c r="O337" i="4"/>
  <c r="O287" i="4"/>
  <c r="O291" i="4" s="1"/>
  <c r="O210" i="4"/>
  <c r="O295" i="4" l="1"/>
  <c r="O114" i="4" s="1"/>
  <c r="O294" i="4"/>
  <c r="O293" i="4"/>
  <c r="H74" i="10"/>
  <c r="O116" i="4" l="1"/>
  <c r="O282" i="4"/>
  <c r="O108" i="4"/>
  <c r="O333" i="4"/>
  <c r="O296" i="4"/>
  <c r="O195" i="4" s="1"/>
  <c r="O336" i="4"/>
  <c r="O109" i="4"/>
  <c r="O206" i="4" l="1"/>
  <c r="P113" i="4"/>
  <c r="O284" i="4"/>
  <c r="O351" i="4"/>
  <c r="O339" i="4"/>
  <c r="E127" i="10"/>
  <c r="H60" i="5"/>
  <c r="E331" i="10" s="1"/>
  <c r="E335" i="10" s="1"/>
  <c r="H43" i="5"/>
  <c r="E297" i="10" s="1"/>
  <c r="E304" i="10" s="1"/>
  <c r="O361" i="4"/>
  <c r="O310" i="4"/>
  <c r="E131" i="10"/>
  <c r="O110" i="4"/>
  <c r="H62" i="10"/>
  <c r="I32" i="5"/>
  <c r="I49" i="5" s="1"/>
  <c r="O308" i="4"/>
  <c r="O309" i="4" s="1"/>
  <c r="O228" i="4"/>
  <c r="O311" i="4" l="1"/>
  <c r="E133" i="10"/>
  <c r="H60" i="13"/>
  <c r="H58" i="13"/>
  <c r="O231" i="4"/>
  <c r="H70" i="10"/>
  <c r="H71" i="10" s="1"/>
  <c r="O207" i="4"/>
  <c r="P281" i="4"/>
  <c r="P119" i="4"/>
  <c r="O349" i="4"/>
  <c r="O538" i="4" s="1"/>
  <c r="E154" i="10" s="1"/>
  <c r="O350" i="4"/>
  <c r="O549" i="4" s="1"/>
  <c r="E186" i="10" s="1"/>
  <c r="P107" i="4"/>
  <c r="O208" i="4"/>
  <c r="E140" i="10" l="1"/>
  <c r="E134" i="10"/>
  <c r="E141" i="10" s="1"/>
  <c r="E142" i="10" s="1"/>
  <c r="O252" i="4"/>
  <c r="P272" i="4"/>
  <c r="P183" i="4"/>
  <c r="O211" i="4"/>
  <c r="H72" i="10"/>
  <c r="H75" i="10" s="1"/>
  <c r="E103" i="10" l="1"/>
  <c r="I39" i="10"/>
  <c r="K135" i="11"/>
  <c r="P225" i="4"/>
  <c r="P247" i="4" s="1"/>
  <c r="P185" i="4"/>
  <c r="P102" i="4" s="1"/>
  <c r="P104" i="4" s="1"/>
  <c r="P186" i="4" s="1"/>
  <c r="O233" i="4"/>
  <c r="P187" i="4" l="1"/>
  <c r="P218" i="4"/>
  <c r="P220" i="4" s="1"/>
  <c r="I26" i="5" s="1"/>
  <c r="F264" i="10" s="1"/>
  <c r="F271" i="10" s="1"/>
  <c r="I42" i="10"/>
  <c r="P241" i="4"/>
  <c r="K138" i="11"/>
  <c r="K102" i="11" s="1"/>
  <c r="I41" i="10"/>
  <c r="F100" i="10"/>
  <c r="K99" i="11"/>
  <c r="K137" i="11"/>
  <c r="O234" i="4"/>
  <c r="O236" i="4" s="1"/>
  <c r="O254" i="4"/>
  <c r="I43" i="10" l="1"/>
  <c r="F97" i="10"/>
  <c r="I50" i="13" s="1"/>
  <c r="P243" i="4"/>
  <c r="P192" i="4"/>
  <c r="P209" i="4"/>
  <c r="K139" i="11"/>
  <c r="K101" i="11"/>
  <c r="O255" i="4"/>
  <c r="O258" i="4" s="1"/>
  <c r="E104" i="10"/>
  <c r="E105" i="10" s="1"/>
  <c r="E107" i="10" s="1"/>
  <c r="F106" i="10" s="1"/>
  <c r="I73" i="10" l="1"/>
  <c r="I47" i="10"/>
  <c r="F99" i="10"/>
  <c r="P132" i="4"/>
  <c r="K103" i="11"/>
  <c r="K155" i="11"/>
  <c r="K143" i="11"/>
  <c r="O298" i="4"/>
  <c r="O260" i="4"/>
  <c r="O261" i="4"/>
  <c r="P257" i="4"/>
  <c r="P268" i="4" s="1"/>
  <c r="F110" i="10" l="1"/>
  <c r="F114" i="10"/>
  <c r="F109" i="10"/>
  <c r="F115" i="10" s="1"/>
  <c r="I52" i="13"/>
  <c r="I40" i="13" s="1"/>
  <c r="F247" i="10"/>
  <c r="F252" i="10" s="1"/>
  <c r="P140" i="4"/>
  <c r="P137" i="4"/>
  <c r="P135" i="4" s="1"/>
  <c r="K107" i="11"/>
  <c r="K153" i="11"/>
  <c r="K157" i="11" l="1"/>
  <c r="K158" i="11"/>
  <c r="I41" i="13"/>
  <c r="I42" i="13"/>
  <c r="P139" i="4"/>
  <c r="P129" i="4"/>
  <c r="F227" i="10" s="1"/>
  <c r="F228" i="10" s="1"/>
  <c r="F245" i="10"/>
  <c r="F246" i="10" s="1"/>
  <c r="I63" i="13" l="1"/>
  <c r="P141" i="4"/>
  <c r="F251" i="10"/>
  <c r="F248" i="10"/>
  <c r="F253" i="10" s="1"/>
  <c r="P155" i="4"/>
  <c r="P158" i="4" s="1"/>
  <c r="P130" i="4"/>
  <c r="F230" i="10"/>
  <c r="F235" i="10" s="1"/>
  <c r="F233" i="10"/>
  <c r="Q127" i="4" l="1"/>
  <c r="P204" i="4"/>
  <c r="J63" i="5" s="1"/>
  <c r="P125" i="4"/>
  <c r="I69" i="10" l="1"/>
  <c r="P229" i="4"/>
  <c r="P250" i="4" s="1"/>
  <c r="Q136" i="4"/>
  <c r="G225" i="10"/>
  <c r="J31" i="5"/>
  <c r="J48" i="5" s="1"/>
  <c r="P307" i="4"/>
  <c r="Q156" i="4" l="1"/>
  <c r="Q181" i="4" s="1"/>
  <c r="G244" i="10"/>
  <c r="I59" i="13"/>
  <c r="I78" i="10"/>
  <c r="I81" i="10"/>
  <c r="P267" i="4"/>
  <c r="P269" i="4" s="1"/>
  <c r="P273" i="4" s="1"/>
  <c r="F102" i="10"/>
  <c r="J61" i="13" l="1"/>
  <c r="J62" i="13"/>
  <c r="L133" i="11"/>
  <c r="L97" i="11" s="1"/>
  <c r="Q223" i="4"/>
  <c r="Q245" i="4" s="1"/>
  <c r="I57" i="13"/>
  <c r="I82" i="10"/>
  <c r="P274" i="4"/>
  <c r="P335" i="4"/>
  <c r="F130" i="10" s="1"/>
  <c r="P276" i="4" l="1"/>
  <c r="P278" i="4" s="1"/>
  <c r="P205" i="4"/>
  <c r="Q271" i="4"/>
  <c r="P115" i="4" l="1"/>
  <c r="P283" i="4" s="1"/>
  <c r="P334" i="4"/>
  <c r="P279" i="4"/>
  <c r="P286" i="4" s="1"/>
  <c r="P230" i="4"/>
  <c r="P251" i="4" s="1"/>
  <c r="F129" i="10" l="1"/>
  <c r="P337" i="4"/>
  <c r="P210" i="4"/>
  <c r="P287" i="4"/>
  <c r="P291" i="4" s="1"/>
  <c r="P293" i="4" l="1"/>
  <c r="I74" i="10"/>
  <c r="P294" i="4"/>
  <c r="P295" i="4"/>
  <c r="P114" i="4" s="1"/>
  <c r="P296" i="4" l="1"/>
  <c r="P109" i="4"/>
  <c r="P336" i="4"/>
  <c r="P333" i="4"/>
  <c r="P108" i="4"/>
  <c r="P116" i="4"/>
  <c r="P282" i="4"/>
  <c r="P110" i="4" l="1"/>
  <c r="P195" i="4"/>
  <c r="P310" i="4"/>
  <c r="F131" i="10"/>
  <c r="F127" i="10"/>
  <c r="P351" i="4"/>
  <c r="I43" i="5"/>
  <c r="F297" i="10" s="1"/>
  <c r="F304" i="10" s="1"/>
  <c r="Q113" i="4"/>
  <c r="P206" i="4"/>
  <c r="P284" i="4"/>
  <c r="Q107" i="4" l="1"/>
  <c r="P208" i="4"/>
  <c r="I62" i="10"/>
  <c r="J32" i="5"/>
  <c r="J49" i="5" s="1"/>
  <c r="P228" i="4"/>
  <c r="P308" i="4"/>
  <c r="P309" i="4" s="1"/>
  <c r="P350" i="4"/>
  <c r="P549" i="4" s="1"/>
  <c r="F186" i="10" s="1"/>
  <c r="P349" i="4"/>
  <c r="P538" i="4" s="1"/>
  <c r="F154" i="10" s="1"/>
  <c r="Q119" i="4"/>
  <c r="Q281" i="4"/>
  <c r="I70" i="10"/>
  <c r="I71" i="10" s="1"/>
  <c r="P207" i="4"/>
  <c r="P231" i="4"/>
  <c r="P252" i="4" s="1"/>
  <c r="P211" i="4" l="1"/>
  <c r="I72" i="10"/>
  <c r="I75" i="10" s="1"/>
  <c r="I60" i="13"/>
  <c r="I58" i="13"/>
  <c r="P338" i="4"/>
  <c r="P311" i="4"/>
  <c r="Q272" i="4"/>
  <c r="Q183" i="4"/>
  <c r="F103" i="10"/>
  <c r="P233" i="4" l="1"/>
  <c r="I60" i="5"/>
  <c r="F331" i="10" s="1"/>
  <c r="F335" i="10" s="1"/>
  <c r="P339" i="4"/>
  <c r="P361" i="4"/>
  <c r="F132" i="10"/>
  <c r="F133" i="10" s="1"/>
  <c r="Q185" i="4"/>
  <c r="Q102" i="4" s="1"/>
  <c r="Q104" i="4" s="1"/>
  <c r="Q186" i="4" s="1"/>
  <c r="J39" i="10"/>
  <c r="L135" i="11"/>
  <c r="Q225" i="4"/>
  <c r="P234" i="4" l="1"/>
  <c r="P236" i="4" s="1"/>
  <c r="P254" i="4"/>
  <c r="F134" i="10"/>
  <c r="F141" i="10" s="1"/>
  <c r="F142" i="10" s="1"/>
  <c r="F140" i="10"/>
  <c r="Q187" i="4"/>
  <c r="J42" i="10"/>
  <c r="L138" i="11"/>
  <c r="L102" i="11" s="1"/>
  <c r="Q218" i="4"/>
  <c r="Q220" i="4" s="1"/>
  <c r="J26" i="5" s="1"/>
  <c r="G264" i="10" s="1"/>
  <c r="G271" i="10" s="1"/>
  <c r="Q241" i="4"/>
  <c r="G100" i="10"/>
  <c r="J41" i="10"/>
  <c r="L137" i="11"/>
  <c r="L99" i="11"/>
  <c r="Q247" i="4"/>
  <c r="P255" i="4" l="1"/>
  <c r="P258" i="4" s="1"/>
  <c r="F104" i="10"/>
  <c r="F105" i="10" s="1"/>
  <c r="F107" i="10" s="1"/>
  <c r="Q192" i="4"/>
  <c r="Q209" i="4"/>
  <c r="G97" i="10"/>
  <c r="J50" i="13" s="1"/>
  <c r="Q243" i="4"/>
  <c r="L139" i="11"/>
  <c r="L101" i="11"/>
  <c r="J43" i="10"/>
  <c r="G106" i="10" l="1"/>
  <c r="P298" i="4"/>
  <c r="P261" i="4"/>
  <c r="P260" i="4"/>
  <c r="Q257" i="4"/>
  <c r="Q268" i="4" s="1"/>
  <c r="Q132" i="4"/>
  <c r="G99" i="10"/>
  <c r="L143" i="11"/>
  <c r="L155" i="11"/>
  <c r="L103" i="11"/>
  <c r="J47" i="10"/>
  <c r="J73" i="10"/>
  <c r="G247" i="10" l="1"/>
  <c r="Q137" i="4"/>
  <c r="Q135" i="4" s="1"/>
  <c r="Q140" i="4"/>
  <c r="G110" i="10"/>
  <c r="J52" i="13"/>
  <c r="J40" i="13" s="1"/>
  <c r="G114" i="10"/>
  <c r="G109" i="10"/>
  <c r="G115" i="10" s="1"/>
  <c r="L153" i="11"/>
  <c r="L107" i="11"/>
  <c r="L157" i="11" l="1"/>
  <c r="L158" i="11"/>
  <c r="G252" i="10"/>
  <c r="Q139" i="4"/>
  <c r="G245" i="10"/>
  <c r="G246" i="10" s="1"/>
  <c r="Q129" i="4"/>
  <c r="J42" i="13"/>
  <c r="J41" i="13"/>
  <c r="Q141" i="4" l="1"/>
  <c r="J63" i="13"/>
  <c r="Q130" i="4"/>
  <c r="G227" i="10"/>
  <c r="G228" i="10" s="1"/>
  <c r="Q155" i="4"/>
  <c r="Q158" i="4" s="1"/>
  <c r="G251" i="10"/>
  <c r="G248" i="10"/>
  <c r="G253" i="10" s="1"/>
  <c r="Q125" i="4" l="1"/>
  <c r="R127" i="4"/>
  <c r="Q204" i="4"/>
  <c r="G230" i="10"/>
  <c r="G235" i="10" s="1"/>
  <c r="G233" i="10"/>
  <c r="R136" i="4" l="1"/>
  <c r="H225" i="10"/>
  <c r="J69" i="10"/>
  <c r="K31" i="5"/>
  <c r="K48" i="5" s="1"/>
  <c r="Q307" i="4"/>
  <c r="Q229" i="4"/>
  <c r="Q250" i="4" s="1"/>
  <c r="K63" i="5"/>
  <c r="R156" i="4" l="1"/>
  <c r="R181" i="4" s="1"/>
  <c r="H244" i="10"/>
  <c r="J81" i="10"/>
  <c r="J59" i="13"/>
  <c r="J78" i="10"/>
  <c r="Q267" i="4"/>
  <c r="Q269" i="4" s="1"/>
  <c r="G102" i="10"/>
  <c r="M133" i="11" l="1"/>
  <c r="R223" i="4"/>
  <c r="R245" i="4" s="1"/>
  <c r="K61" i="13"/>
  <c r="K62" i="13"/>
  <c r="J82" i="10"/>
  <c r="J57" i="13"/>
  <c r="Q273" i="4"/>
  <c r="M97" i="11" l="1"/>
  <c r="Q274" i="4"/>
  <c r="Q335" i="4"/>
  <c r="G130" i="10" s="1"/>
  <c r="Q276" i="4" l="1"/>
  <c r="Q278" i="4" s="1"/>
  <c r="Q205" i="4"/>
  <c r="R271" i="4"/>
  <c r="Q115" i="4" l="1"/>
  <c r="Q283" i="4" s="1"/>
  <c r="Q334" i="4"/>
  <c r="Q279" i="4"/>
  <c r="Q286" i="4" s="1"/>
  <c r="Q230" i="4"/>
  <c r="Q251" i="4" s="1"/>
  <c r="G129" i="10" l="1"/>
  <c r="Q210" i="4"/>
  <c r="Q287" i="4"/>
  <c r="Q291" i="4" s="1"/>
  <c r="Q337" i="4"/>
  <c r="Q293" i="4" l="1"/>
  <c r="J74" i="10"/>
  <c r="Q295" i="4"/>
  <c r="Q114" i="4" s="1"/>
  <c r="Q294" i="4"/>
  <c r="Q336" i="4" l="1"/>
  <c r="Q109" i="4"/>
  <c r="Q296" i="4"/>
  <c r="Q116" i="4"/>
  <c r="Q282" i="4"/>
  <c r="Q333" i="4"/>
  <c r="Q108" i="4"/>
  <c r="Q110" i="4" l="1"/>
  <c r="Q310" i="4"/>
  <c r="G131" i="10"/>
  <c r="Q195" i="4"/>
  <c r="Q284" i="4"/>
  <c r="R113" i="4"/>
  <c r="Q206" i="4"/>
  <c r="Q351" i="4"/>
  <c r="G127" i="10"/>
  <c r="J43" i="5"/>
  <c r="G297" i="10" s="1"/>
  <c r="G304" i="10" s="1"/>
  <c r="R107" i="4" l="1"/>
  <c r="Q208" i="4"/>
  <c r="J62" i="10"/>
  <c r="K32" i="5"/>
  <c r="K49" i="5" s="1"/>
  <c r="Q308" i="4"/>
  <c r="Q309" i="4" s="1"/>
  <c r="Q228" i="4"/>
  <c r="R281" i="4"/>
  <c r="R119" i="4"/>
  <c r="J70" i="10"/>
  <c r="J71" i="10" s="1"/>
  <c r="Q207" i="4"/>
  <c r="Q231" i="4"/>
  <c r="Q252" i="4" s="1"/>
  <c r="Q350" i="4"/>
  <c r="Q549" i="4" s="1"/>
  <c r="G186" i="10" s="1"/>
  <c r="Q349" i="4"/>
  <c r="Q538" i="4" s="1"/>
  <c r="G154" i="10" s="1"/>
  <c r="Q211" i="4" l="1"/>
  <c r="J72" i="10"/>
  <c r="J75" i="10" s="1"/>
  <c r="J58" i="13"/>
  <c r="J60" i="13"/>
  <c r="Q311" i="4"/>
  <c r="Q338" i="4"/>
  <c r="R183" i="4"/>
  <c r="R272" i="4"/>
  <c r="G103" i="10"/>
  <c r="Q233" i="4" l="1"/>
  <c r="Q339" i="4"/>
  <c r="J60" i="5"/>
  <c r="G331" i="10" s="1"/>
  <c r="G335" i="10" s="1"/>
  <c r="Q361" i="4"/>
  <c r="G132" i="10"/>
  <c r="G133" i="10" s="1"/>
  <c r="K39" i="10"/>
  <c r="R185" i="4"/>
  <c r="R102" i="4" s="1"/>
  <c r="R104" i="4" s="1"/>
  <c r="R186" i="4" s="1"/>
  <c r="R225" i="4"/>
  <c r="R247" i="4" s="1"/>
  <c r="M135" i="11"/>
  <c r="Q234" i="4" l="1"/>
  <c r="Q236" i="4" s="1"/>
  <c r="Q254" i="4"/>
  <c r="G134" i="10"/>
  <c r="G141" i="10" s="1"/>
  <c r="G142" i="10" s="1"/>
  <c r="G140" i="10"/>
  <c r="K41" i="10"/>
  <c r="H100" i="10"/>
  <c r="R187" i="4"/>
  <c r="K42" i="10"/>
  <c r="R241" i="4"/>
  <c r="R218" i="4"/>
  <c r="R220" i="4" s="1"/>
  <c r="K26" i="5" s="1"/>
  <c r="H264" i="10" s="1"/>
  <c r="H271" i="10" s="1"/>
  <c r="M138" i="11"/>
  <c r="M102" i="11" s="1"/>
  <c r="M137" i="11"/>
  <c r="M99" i="11"/>
  <c r="K43" i="10" l="1"/>
  <c r="Q255" i="4"/>
  <c r="Q258" i="4" s="1"/>
  <c r="G104" i="10"/>
  <c r="R192" i="4"/>
  <c r="R209" i="4"/>
  <c r="H97" i="10"/>
  <c r="K50" i="13" s="1"/>
  <c r="R243" i="4"/>
  <c r="M101" i="11"/>
  <c r="M139" i="11"/>
  <c r="G105" i="10" l="1"/>
  <c r="G107" i="10" s="1"/>
  <c r="H106" i="10" s="1"/>
  <c r="K47" i="10"/>
  <c r="K73" i="10"/>
  <c r="Q261" i="4"/>
  <c r="Q298" i="4"/>
  <c r="Q260" i="4"/>
  <c r="R257" i="4"/>
  <c r="R268" i="4" s="1"/>
  <c r="H99" i="10"/>
  <c r="R132" i="4"/>
  <c r="M155" i="11"/>
  <c r="M143" i="11"/>
  <c r="M103" i="11"/>
  <c r="H110" i="10" l="1"/>
  <c r="H114" i="10"/>
  <c r="H109" i="10"/>
  <c r="H115" i="10" s="1"/>
  <c r="K52" i="13"/>
  <c r="K40" i="13" s="1"/>
  <c r="R140" i="4"/>
  <c r="H247" i="10"/>
  <c r="R137" i="4"/>
  <c r="R135" i="4" s="1"/>
  <c r="M107" i="11"/>
  <c r="M153" i="11"/>
  <c r="K41" i="13" l="1"/>
  <c r="K42" i="13"/>
  <c r="H252" i="10"/>
  <c r="R139" i="4"/>
  <c r="R129" i="4"/>
  <c r="H245" i="10"/>
  <c r="H246" i="10" s="1"/>
  <c r="M157" i="11"/>
  <c r="M158" i="11"/>
  <c r="R141" i="4" l="1"/>
  <c r="K63" i="13"/>
  <c r="R130" i="4"/>
  <c r="R155" i="4"/>
  <c r="R158" i="4" s="1"/>
  <c r="H227" i="10"/>
  <c r="H228" i="10" s="1"/>
  <c r="H251" i="10"/>
  <c r="H248" i="10"/>
  <c r="H253" i="10" s="1"/>
  <c r="R204" i="4" l="1"/>
  <c r="R125" i="4"/>
  <c r="S127" i="4"/>
  <c r="H230" i="10"/>
  <c r="H235" i="10" s="1"/>
  <c r="H233" i="10"/>
  <c r="L63" i="5" l="1"/>
  <c r="R229" i="4"/>
  <c r="R250" i="4" s="1"/>
  <c r="L31" i="5"/>
  <c r="L48" i="5" s="1"/>
  <c r="R307" i="4"/>
  <c r="K69" i="10"/>
  <c r="S136" i="4"/>
  <c r="I225" i="10"/>
  <c r="R267" i="4" l="1"/>
  <c r="R269" i="4" s="1"/>
  <c r="H102" i="10"/>
  <c r="K59" i="13"/>
  <c r="K81" i="10"/>
  <c r="K78" i="10"/>
  <c r="S156" i="4"/>
  <c r="S181" i="4" s="1"/>
  <c r="I244" i="10"/>
  <c r="R273" i="4" l="1"/>
  <c r="K82" i="10"/>
  <c r="K57" i="13"/>
  <c r="L62" i="13"/>
  <c r="S223" i="4"/>
  <c r="S245" i="4" s="1"/>
  <c r="L61" i="13"/>
  <c r="N133" i="11"/>
  <c r="R274" i="4" l="1"/>
  <c r="R335" i="4"/>
  <c r="H130" i="10" s="1"/>
  <c r="N97" i="11"/>
  <c r="R276" i="4" l="1"/>
  <c r="R278" i="4" s="1"/>
  <c r="R205" i="4"/>
  <c r="S271" i="4"/>
  <c r="R115" i="4" l="1"/>
  <c r="R283" i="4" s="1"/>
  <c r="R334" i="4"/>
  <c r="R279" i="4"/>
  <c r="R286" i="4" s="1"/>
  <c r="R230" i="4"/>
  <c r="R251" i="4" s="1"/>
  <c r="H129" i="10" l="1"/>
  <c r="R210" i="4"/>
  <c r="R287" i="4"/>
  <c r="R291" i="4" s="1"/>
  <c r="R337" i="4"/>
  <c r="R293" i="4" l="1"/>
  <c r="K74" i="10"/>
  <c r="R294" i="4"/>
  <c r="R295" i="4"/>
  <c r="R114" i="4" s="1"/>
  <c r="R109" i="4" l="1"/>
  <c r="R296" i="4"/>
  <c r="R336" i="4"/>
  <c r="R333" i="4"/>
  <c r="R108" i="4"/>
  <c r="R116" i="4"/>
  <c r="R282" i="4"/>
  <c r="R110" i="4" l="1"/>
  <c r="R195" i="4"/>
  <c r="H131" i="10"/>
  <c r="R310" i="4"/>
  <c r="R351" i="4"/>
  <c r="H127" i="10"/>
  <c r="K43" i="5"/>
  <c r="H297" i="10" s="1"/>
  <c r="H304" i="10" s="1"/>
  <c r="R206" i="4"/>
  <c r="R284" i="4"/>
  <c r="S113" i="4"/>
  <c r="R208" i="4" l="1"/>
  <c r="S107" i="4"/>
  <c r="L32" i="5"/>
  <c r="L49" i="5" s="1"/>
  <c r="K62" i="10"/>
  <c r="R308" i="4"/>
  <c r="R309" i="4" s="1"/>
  <c r="R228" i="4"/>
  <c r="R349" i="4"/>
  <c r="R538" i="4" s="1"/>
  <c r="H154" i="10" s="1"/>
  <c r="R350" i="4"/>
  <c r="R549" i="4" s="1"/>
  <c r="H186" i="10" s="1"/>
  <c r="K70" i="10"/>
  <c r="K71" i="10" s="1"/>
  <c r="R207" i="4"/>
  <c r="R231" i="4"/>
  <c r="R252" i="4" s="1"/>
  <c r="S281" i="4"/>
  <c r="S119" i="4"/>
  <c r="R211" i="4" l="1"/>
  <c r="K72" i="10"/>
  <c r="K75" i="10" s="1"/>
  <c r="K60" i="13"/>
  <c r="K58" i="13"/>
  <c r="R311" i="4"/>
  <c r="R338" i="4"/>
  <c r="H103" i="10"/>
  <c r="S183" i="4"/>
  <c r="S272" i="4"/>
  <c r="R233" i="4" l="1"/>
  <c r="R339" i="4"/>
  <c r="K60" i="5"/>
  <c r="H331" i="10" s="1"/>
  <c r="H335" i="10" s="1"/>
  <c r="R361" i="4"/>
  <c r="H132" i="10"/>
  <c r="H133" i="10" s="1"/>
  <c r="L39" i="10"/>
  <c r="S185" i="4"/>
  <c r="S102" i="4" s="1"/>
  <c r="S104" i="4" s="1"/>
  <c r="S186" i="4" s="1"/>
  <c r="N135" i="11"/>
  <c r="S225" i="4"/>
  <c r="S247" i="4" s="1"/>
  <c r="R234" i="4" l="1"/>
  <c r="R236" i="4" s="1"/>
  <c r="R254" i="4"/>
  <c r="H140" i="10"/>
  <c r="H134" i="10"/>
  <c r="H141" i="10" s="1"/>
  <c r="H142" i="10" s="1"/>
  <c r="L41" i="10"/>
  <c r="I100" i="10"/>
  <c r="S187" i="4"/>
  <c r="S218" i="4"/>
  <c r="S220" i="4" s="1"/>
  <c r="L26" i="5" s="1"/>
  <c r="I264" i="10" s="1"/>
  <c r="I271" i="10" s="1"/>
  <c r="L42" i="10"/>
  <c r="N138" i="11"/>
  <c r="N102" i="11" s="1"/>
  <c r="S241" i="4"/>
  <c r="N137" i="11"/>
  <c r="N99" i="11"/>
  <c r="R255" i="4" l="1"/>
  <c r="R258" i="4" s="1"/>
  <c r="H104" i="10"/>
  <c r="H105" i="10" s="1"/>
  <c r="H107" i="10" s="1"/>
  <c r="I106" i="10" s="1"/>
  <c r="L43" i="10"/>
  <c r="S192" i="4"/>
  <c r="S209" i="4"/>
  <c r="S243" i="4"/>
  <c r="I97" i="10"/>
  <c r="L50" i="13" s="1"/>
  <c r="N101" i="11"/>
  <c r="N139" i="11"/>
  <c r="L73" i="10" l="1"/>
  <c r="L47" i="10"/>
  <c r="R260" i="4"/>
  <c r="R261" i="4"/>
  <c r="S257" i="4"/>
  <c r="S268" i="4" s="1"/>
  <c r="R298" i="4"/>
  <c r="I99" i="10"/>
  <c r="S132" i="4"/>
  <c r="N155" i="11"/>
  <c r="N103" i="11"/>
  <c r="N143" i="11"/>
  <c r="L52" i="13" l="1"/>
  <c r="L40" i="13" s="1"/>
  <c r="I110" i="10"/>
  <c r="I109" i="10"/>
  <c r="I115" i="10" s="1"/>
  <c r="I114" i="10"/>
  <c r="I247" i="10"/>
  <c r="S140" i="4"/>
  <c r="S137" i="4"/>
  <c r="S135" i="4" s="1"/>
  <c r="N153" i="11"/>
  <c r="N107" i="11"/>
  <c r="N157" i="11" l="1"/>
  <c r="N158" i="11"/>
  <c r="N40" i="13"/>
  <c r="L42" i="13"/>
  <c r="L41" i="13"/>
  <c r="I252" i="10"/>
  <c r="S139" i="4"/>
  <c r="I245" i="10"/>
  <c r="I246" i="10" s="1"/>
  <c r="S129" i="4"/>
  <c r="S141" i="4" l="1"/>
  <c r="L63" i="13"/>
  <c r="I227" i="10"/>
  <c r="I228" i="10" s="1"/>
  <c r="S155" i="4"/>
  <c r="S158" i="4" s="1"/>
  <c r="S130" i="4"/>
  <c r="I251" i="10"/>
  <c r="I248" i="10"/>
  <c r="I253" i="10" s="1"/>
  <c r="I233" i="10" l="1"/>
  <c r="I230" i="10"/>
  <c r="I235" i="10" s="1"/>
  <c r="S125" i="4"/>
  <c r="S204" i="4"/>
  <c r="T127" i="4"/>
  <c r="M31" i="5" l="1"/>
  <c r="M48" i="5" s="1"/>
  <c r="S229" i="4"/>
  <c r="S250" i="4" s="1"/>
  <c r="L69" i="10"/>
  <c r="S307" i="4"/>
  <c r="M63" i="5"/>
  <c r="T136" i="4"/>
  <c r="J225" i="10"/>
  <c r="S267" i="4" l="1"/>
  <c r="S269" i="4" s="1"/>
  <c r="I102" i="10"/>
  <c r="G57" i="12"/>
  <c r="L81" i="10"/>
  <c r="L59" i="13"/>
  <c r="L78" i="10"/>
  <c r="T156" i="4"/>
  <c r="T181" i="4" s="1"/>
  <c r="J244" i="10"/>
  <c r="S273" i="4" l="1"/>
  <c r="L57" i="13"/>
  <c r="L82" i="10"/>
  <c r="O133" i="11"/>
  <c r="T223" i="4"/>
  <c r="T245" i="4" s="1"/>
  <c r="S274" i="4" l="1"/>
  <c r="S335" i="4"/>
  <c r="I130" i="10" s="1"/>
  <c r="K130" i="10" s="1"/>
  <c r="O97" i="11"/>
  <c r="S276" i="4" l="1"/>
  <c r="S278" i="4" s="1"/>
  <c r="S334" i="4" s="1"/>
  <c r="S205" i="4"/>
  <c r="T271" i="4"/>
  <c r="S115" i="4" l="1"/>
  <c r="S283" i="4" s="1"/>
  <c r="S279" i="4"/>
  <c r="S286" i="4" s="1"/>
  <c r="S230" i="4"/>
  <c r="S251" i="4" s="1"/>
  <c r="I129" i="10" l="1"/>
  <c r="K129" i="10" s="1"/>
  <c r="S210" i="4"/>
  <c r="S337" i="4"/>
  <c r="S287" i="4"/>
  <c r="S291" i="4" s="1"/>
  <c r="S293" i="4" l="1"/>
  <c r="L74" i="10"/>
  <c r="S294" i="4"/>
  <c r="S295" i="4"/>
  <c r="S114" i="4" s="1"/>
  <c r="S109" i="4" l="1"/>
  <c r="S296" i="4"/>
  <c r="S336" i="4"/>
  <c r="S333" i="4"/>
  <c r="S108" i="4"/>
  <c r="S282" i="4"/>
  <c r="S116" i="4"/>
  <c r="S195" i="4" l="1"/>
  <c r="I131" i="10"/>
  <c r="K131" i="10" s="1"/>
  <c r="S310" i="4"/>
  <c r="S351" i="4"/>
  <c r="I127" i="10"/>
  <c r="L43" i="5"/>
  <c r="I297" i="10" s="1"/>
  <c r="I304" i="10" s="1"/>
  <c r="S284" i="4"/>
  <c r="T113" i="4"/>
  <c r="S206" i="4"/>
  <c r="S110" i="4"/>
  <c r="S228" i="4" l="1"/>
  <c r="L62" i="10"/>
  <c r="S308" i="4"/>
  <c r="S309" i="4" s="1"/>
  <c r="M32" i="5"/>
  <c r="M49" i="5" s="1"/>
  <c r="S349" i="4"/>
  <c r="S538" i="4" s="1"/>
  <c r="I154" i="10" s="1"/>
  <c r="S350" i="4"/>
  <c r="S549" i="4" s="1"/>
  <c r="I186" i="10" s="1"/>
  <c r="K186" i="10" s="1"/>
  <c r="D203" i="10" s="1"/>
  <c r="K127" i="10"/>
  <c r="T119" i="4"/>
  <c r="T281" i="4"/>
  <c r="L70" i="10"/>
  <c r="L71" i="10" s="1"/>
  <c r="S207" i="4"/>
  <c r="S231" i="4"/>
  <c r="S252" i="4" s="1"/>
  <c r="S208" i="4"/>
  <c r="T107" i="4"/>
  <c r="G53" i="12" l="1"/>
  <c r="G55" i="12" s="1"/>
  <c r="G58" i="12" s="1"/>
  <c r="G60" i="12" s="1"/>
  <c r="G62" i="12" s="1"/>
  <c r="G64" i="12" s="1"/>
  <c r="G65" i="12" s="1"/>
  <c r="G66" i="12" s="1"/>
  <c r="K154" i="10"/>
  <c r="D167" i="10" s="1"/>
  <c r="L58" i="13"/>
  <c r="L60" i="13"/>
  <c r="S338" i="4"/>
  <c r="S311" i="4"/>
  <c r="T272" i="4"/>
  <c r="T183" i="4"/>
  <c r="I103" i="10"/>
  <c r="L72" i="10"/>
  <c r="L75" i="10" s="1"/>
  <c r="S211" i="4"/>
  <c r="L60" i="5" l="1"/>
  <c r="I331" i="10" s="1"/>
  <c r="I335" i="10" s="1"/>
  <c r="S361" i="4"/>
  <c r="S339" i="4"/>
  <c r="I132" i="10"/>
  <c r="T185" i="4"/>
  <c r="T102" i="4" s="1"/>
  <c r="T104" i="4" s="1"/>
  <c r="T186" i="4" s="1"/>
  <c r="M39" i="10"/>
  <c r="O135" i="11"/>
  <c r="T225" i="4"/>
  <c r="T247" i="4" s="1"/>
  <c r="S233" i="4"/>
  <c r="I133" i="10" l="1"/>
  <c r="K132" i="10"/>
  <c r="K133" i="10" s="1"/>
  <c r="T187" i="4"/>
  <c r="T218" i="4"/>
  <c r="T220" i="4" s="1"/>
  <c r="M26" i="5" s="1"/>
  <c r="J264" i="10" s="1"/>
  <c r="J271" i="10" s="1"/>
  <c r="T241" i="4"/>
  <c r="O138" i="11"/>
  <c r="O102" i="11" s="1"/>
  <c r="M42" i="10"/>
  <c r="M41" i="10"/>
  <c r="J100" i="10"/>
  <c r="O137" i="11"/>
  <c r="O99" i="11"/>
  <c r="S234" i="4"/>
  <c r="S236" i="4" s="1"/>
  <c r="S254" i="4"/>
  <c r="I140" i="10" l="1"/>
  <c r="I134" i="10"/>
  <c r="I141" i="10" s="1"/>
  <c r="I142" i="10" s="1"/>
  <c r="T209" i="4"/>
  <c r="T192" i="4"/>
  <c r="J97" i="10"/>
  <c r="T243" i="4"/>
  <c r="O101" i="11"/>
  <c r="O139" i="11"/>
  <c r="S255" i="4"/>
  <c r="S258" i="4" s="1"/>
  <c r="I104" i="10"/>
  <c r="I105" i="10" s="1"/>
  <c r="I107" i="10" s="1"/>
  <c r="J106" i="10" s="1"/>
  <c r="M43" i="10"/>
  <c r="T132" i="4" l="1"/>
  <c r="J99" i="10"/>
  <c r="O143" i="11"/>
  <c r="O155" i="11"/>
  <c r="O103" i="11"/>
  <c r="S260" i="4"/>
  <c r="S261" i="4"/>
  <c r="T257" i="4"/>
  <c r="T268" i="4" s="1"/>
  <c r="S298" i="4"/>
  <c r="M73" i="10"/>
  <c r="M47" i="10"/>
  <c r="T137" i="4" l="1"/>
  <c r="T135" i="4" s="1"/>
  <c r="J247" i="10"/>
  <c r="T140" i="4"/>
  <c r="J109" i="10"/>
  <c r="J115" i="10" s="1"/>
  <c r="J110" i="10"/>
  <c r="J114" i="10"/>
  <c r="O153" i="11"/>
  <c r="O107" i="11"/>
  <c r="T129" i="4" l="1"/>
  <c r="J245" i="10"/>
  <c r="J246" i="10" s="1"/>
  <c r="T139" i="4"/>
  <c r="T141" i="4" s="1"/>
  <c r="J252" i="10"/>
  <c r="O158" i="11"/>
  <c r="O157" i="11"/>
  <c r="J251" i="10" l="1"/>
  <c r="J248" i="10"/>
  <c r="J253" i="10" s="1"/>
  <c r="J227" i="10"/>
  <c r="J228" i="10" s="1"/>
  <c r="T155" i="4"/>
  <c r="T158" i="4" s="1"/>
  <c r="T130" i="4"/>
  <c r="J230" i="10" l="1"/>
  <c r="J235" i="10" s="1"/>
  <c r="J233" i="10"/>
  <c r="T204" i="4"/>
  <c r="U127" i="4"/>
  <c r="T125" i="4"/>
  <c r="N63" i="5" l="1"/>
  <c r="T307" i="4"/>
  <c r="T229" i="4"/>
  <c r="T250" i="4" s="1"/>
  <c r="M69" i="10"/>
  <c r="N31" i="5"/>
  <c r="N48" i="5" s="1"/>
  <c r="U136" i="4"/>
  <c r="K225" i="10"/>
  <c r="T267" i="4" l="1"/>
  <c r="T269" i="4" s="1"/>
  <c r="J102" i="10"/>
  <c r="M78" i="10"/>
  <c r="M82" i="10" s="1"/>
  <c r="M81" i="10"/>
  <c r="K244" i="10"/>
  <c r="U156" i="4"/>
  <c r="U181" i="4" s="1"/>
  <c r="T273" i="4" l="1"/>
  <c r="P133" i="11"/>
  <c r="U223" i="4"/>
  <c r="U245" i="4" s="1"/>
  <c r="T274" i="4" l="1"/>
  <c r="T335" i="4"/>
  <c r="P97" i="11"/>
  <c r="T276" i="4" l="1"/>
  <c r="T278" i="4" s="1"/>
  <c r="U271" i="4"/>
  <c r="T205" i="4"/>
  <c r="T115" i="4" l="1"/>
  <c r="T283" i="4" s="1"/>
  <c r="T334" i="4"/>
  <c r="T279" i="4"/>
  <c r="T286" i="4" s="1"/>
  <c r="T230" i="4"/>
  <c r="T251" i="4" s="1"/>
  <c r="T210" i="4" l="1"/>
  <c r="T287" i="4"/>
  <c r="T291" i="4" s="1"/>
  <c r="T337" i="4"/>
  <c r="T293" i="4" l="1"/>
  <c r="M74" i="10"/>
  <c r="T295" i="4"/>
  <c r="T114" i="4" s="1"/>
  <c r="T294" i="4"/>
  <c r="T109" i="4" l="1"/>
  <c r="T336" i="4"/>
  <c r="T296" i="4"/>
  <c r="T282" i="4"/>
  <c r="T116" i="4"/>
  <c r="T108" i="4"/>
  <c r="T333" i="4"/>
  <c r="T310" i="4" l="1"/>
  <c r="T195" i="4"/>
  <c r="T284" i="4"/>
  <c r="T206" i="4"/>
  <c r="U113" i="4"/>
  <c r="T351" i="4"/>
  <c r="M43" i="5"/>
  <c r="J297" i="10" s="1"/>
  <c r="J304" i="10" s="1"/>
  <c r="T110" i="4"/>
  <c r="M62" i="10" l="1"/>
  <c r="T308" i="4"/>
  <c r="T309" i="4" s="1"/>
  <c r="T228" i="4"/>
  <c r="N32" i="5"/>
  <c r="N49" i="5" s="1"/>
  <c r="T207" i="4"/>
  <c r="M70" i="10"/>
  <c r="M71" i="10" s="1"/>
  <c r="T231" i="4"/>
  <c r="T252" i="4" s="1"/>
  <c r="U281" i="4"/>
  <c r="U119" i="4"/>
  <c r="T349" i="4"/>
  <c r="T538" i="4" s="1"/>
  <c r="T350" i="4"/>
  <c r="T549" i="4" s="1"/>
  <c r="T208" i="4"/>
  <c r="U107" i="4"/>
  <c r="T311" i="4" l="1"/>
  <c r="T338" i="4"/>
  <c r="J103" i="10"/>
  <c r="U272" i="4"/>
  <c r="U183" i="4"/>
  <c r="T211" i="4"/>
  <c r="M72" i="10"/>
  <c r="M75" i="10" s="1"/>
  <c r="M60" i="5" l="1"/>
  <c r="J331" i="10" s="1"/>
  <c r="J335" i="10" s="1"/>
  <c r="T361" i="4"/>
  <c r="T339" i="4"/>
  <c r="U185" i="4"/>
  <c r="U102" i="4" s="1"/>
  <c r="U104" i="4" s="1"/>
  <c r="U186" i="4" s="1"/>
  <c r="N39" i="10"/>
  <c r="P135" i="11"/>
  <c r="U225" i="4"/>
  <c r="U247" i="4" s="1"/>
  <c r="T233" i="4"/>
  <c r="U187" i="4" l="1"/>
  <c r="U241" i="4"/>
  <c r="U218" i="4"/>
  <c r="U220" i="4" s="1"/>
  <c r="N26" i="5" s="1"/>
  <c r="K264" i="10" s="1"/>
  <c r="K271" i="10" s="1"/>
  <c r="N42" i="10"/>
  <c r="P138" i="11"/>
  <c r="P102" i="11" s="1"/>
  <c r="K100" i="10"/>
  <c r="N41" i="10"/>
  <c r="P137" i="11"/>
  <c r="P99" i="11"/>
  <c r="T234" i="4"/>
  <c r="T236" i="4" s="1"/>
  <c r="T254" i="4"/>
  <c r="N43" i="10" l="1"/>
  <c r="U209" i="4"/>
  <c r="U192" i="4"/>
  <c r="K97" i="10"/>
  <c r="U243" i="4"/>
  <c r="P101" i="11"/>
  <c r="P139" i="11"/>
  <c r="T255" i="4"/>
  <c r="T258" i="4" s="1"/>
  <c r="J104" i="10"/>
  <c r="J105" i="10" s="1"/>
  <c r="J107" i="10" s="1"/>
  <c r="K106" i="10" s="1"/>
  <c r="N47" i="10" l="1"/>
  <c r="N73" i="10"/>
  <c r="K99" i="10"/>
  <c r="U132" i="4"/>
  <c r="P103" i="11"/>
  <c r="P143" i="11"/>
  <c r="P155" i="11"/>
  <c r="T260" i="4"/>
  <c r="T261" i="4"/>
  <c r="U257" i="4"/>
  <c r="U268" i="4" s="1"/>
  <c r="T298" i="4"/>
  <c r="K109" i="10" l="1"/>
  <c r="K115" i="10" s="1"/>
  <c r="K114" i="10"/>
  <c r="K110" i="10"/>
  <c r="K247" i="10"/>
  <c r="U137" i="4"/>
  <c r="U135" i="4" s="1"/>
  <c r="U140" i="4"/>
  <c r="P107" i="11"/>
  <c r="P153" i="11"/>
  <c r="K252" i="10" l="1"/>
  <c r="U129" i="4"/>
  <c r="K245" i="10"/>
  <c r="K246" i="10" s="1"/>
  <c r="U139" i="4"/>
  <c r="U141" i="4" s="1"/>
  <c r="P157" i="11"/>
  <c r="P158" i="11"/>
  <c r="K251" i="10" l="1"/>
  <c r="K248" i="10"/>
  <c r="K253" i="10" s="1"/>
  <c r="K227" i="10"/>
  <c r="K228" i="10" s="1"/>
  <c r="U130" i="4"/>
  <c r="U155" i="4"/>
  <c r="U158" i="4" s="1"/>
  <c r="K233" i="10" l="1"/>
  <c r="K230" i="10"/>
  <c r="K235" i="10" s="1"/>
  <c r="U125" i="4"/>
  <c r="V127" i="4"/>
  <c r="U204" i="4"/>
  <c r="L225" i="10" l="1"/>
  <c r="V136" i="4"/>
  <c r="O63" i="5"/>
  <c r="U229" i="4"/>
  <c r="U250" i="4" s="1"/>
  <c r="N69" i="10"/>
  <c r="O31" i="5"/>
  <c r="O48" i="5" s="1"/>
  <c r="U307" i="4"/>
  <c r="V156" i="4" l="1"/>
  <c r="V181" i="4" s="1"/>
  <c r="L244" i="10"/>
  <c r="U267" i="4"/>
  <c r="U269" i="4" s="1"/>
  <c r="K102" i="10"/>
  <c r="N78" i="10"/>
  <c r="N82" i="10" s="1"/>
  <c r="N81" i="10"/>
  <c r="Q133" i="11" l="1"/>
  <c r="V223" i="4"/>
  <c r="V245" i="4" s="1"/>
  <c r="U273" i="4"/>
  <c r="Q97" i="11" l="1"/>
  <c r="U274" i="4"/>
  <c r="U335" i="4"/>
  <c r="U276" i="4" l="1"/>
  <c r="U278" i="4" s="1"/>
  <c r="U205" i="4"/>
  <c r="V271" i="4"/>
  <c r="U279" i="4" l="1"/>
  <c r="U286" i="4" s="1"/>
  <c r="U334" i="4"/>
  <c r="U115" i="4"/>
  <c r="U283" i="4" s="1"/>
  <c r="U230" i="4"/>
  <c r="U251" i="4" s="1"/>
  <c r="U210" i="4" l="1"/>
  <c r="U287" i="4"/>
  <c r="U291" i="4" s="1"/>
  <c r="U337" i="4"/>
  <c r="U293" i="4" l="1"/>
  <c r="N74" i="10"/>
  <c r="U295" i="4"/>
  <c r="U114" i="4" s="1"/>
  <c r="U294" i="4"/>
  <c r="U296" i="4" l="1"/>
  <c r="U109" i="4"/>
  <c r="U336" i="4"/>
  <c r="U282" i="4"/>
  <c r="U116" i="4"/>
  <c r="U333" i="4"/>
  <c r="U108" i="4"/>
  <c r="U195" i="4" l="1"/>
  <c r="U310" i="4"/>
  <c r="V113" i="4"/>
  <c r="U206" i="4"/>
  <c r="U284" i="4"/>
  <c r="U351" i="4"/>
  <c r="N43" i="5"/>
  <c r="K297" i="10" s="1"/>
  <c r="K304" i="10" s="1"/>
  <c r="U110" i="4"/>
  <c r="U228" i="4" l="1"/>
  <c r="O32" i="5"/>
  <c r="O49" i="5" s="1"/>
  <c r="N62" i="10"/>
  <c r="U308" i="4"/>
  <c r="U309" i="4" s="1"/>
  <c r="V119" i="4"/>
  <c r="V281" i="4"/>
  <c r="N70" i="10"/>
  <c r="N71" i="10" s="1"/>
  <c r="U207" i="4"/>
  <c r="U231" i="4"/>
  <c r="U252" i="4" s="1"/>
  <c r="U350" i="4"/>
  <c r="U549" i="4" s="1"/>
  <c r="U349" i="4"/>
  <c r="U538" i="4" s="1"/>
  <c r="V107" i="4"/>
  <c r="U208" i="4"/>
  <c r="U338" i="4" l="1"/>
  <c r="U311" i="4"/>
  <c r="V183" i="4"/>
  <c r="V272" i="4"/>
  <c r="K103" i="10"/>
  <c r="U211" i="4"/>
  <c r="N72" i="10"/>
  <c r="N75" i="10" s="1"/>
  <c r="U361" i="4" l="1"/>
  <c r="U339" i="4"/>
  <c r="N60" i="5"/>
  <c r="K331" i="10" s="1"/>
  <c r="K335" i="10" s="1"/>
  <c r="O39" i="10"/>
  <c r="V185" i="4"/>
  <c r="V225" i="4"/>
  <c r="V247" i="4" s="1"/>
  <c r="Q135" i="11"/>
  <c r="U233" i="4"/>
  <c r="L100" i="10" l="1"/>
  <c r="O41" i="10"/>
  <c r="V102" i="4"/>
  <c r="V104" i="4" s="1"/>
  <c r="V186" i="4" s="1"/>
  <c r="V187" i="4" s="1"/>
  <c r="Q137" i="11"/>
  <c r="Q99" i="11"/>
  <c r="U234" i="4"/>
  <c r="U236" i="4" s="1"/>
  <c r="U254" i="4"/>
  <c r="Q138" i="11" l="1"/>
  <c r="V218" i="4"/>
  <c r="V220" i="4" s="1"/>
  <c r="O26" i="5" s="1"/>
  <c r="L264" i="10" s="1"/>
  <c r="L271" i="10" s="1"/>
  <c r="O42" i="10"/>
  <c r="O43" i="10" s="1"/>
  <c r="V241" i="4"/>
  <c r="V209" i="4"/>
  <c r="V192" i="4"/>
  <c r="Q101" i="11"/>
  <c r="U255" i="4"/>
  <c r="U258" i="4" s="1"/>
  <c r="K104" i="10"/>
  <c r="K105" i="10" s="1"/>
  <c r="K107" i="10" s="1"/>
  <c r="L106" i="10" s="1"/>
  <c r="O73" i="10" l="1"/>
  <c r="O47" i="10"/>
  <c r="L97" i="10"/>
  <c r="V243" i="4"/>
  <c r="U261" i="4"/>
  <c r="V257" i="4"/>
  <c r="V268" i="4" s="1"/>
  <c r="U260" i="4"/>
  <c r="U298" i="4"/>
  <c r="Q102" i="11"/>
  <c r="Q139" i="11"/>
  <c r="L99" i="10" l="1"/>
  <c r="V132" i="4"/>
  <c r="Q143" i="11"/>
  <c r="Q155" i="11"/>
  <c r="Q103" i="11"/>
  <c r="L114" i="10" l="1"/>
  <c r="L110" i="10"/>
  <c r="L109" i="10"/>
  <c r="L115" i="10" s="1"/>
  <c r="L247" i="10"/>
  <c r="V137" i="4"/>
  <c r="V135" i="4" s="1"/>
  <c r="V140" i="4"/>
  <c r="Q153" i="11"/>
  <c r="Q107" i="11"/>
  <c r="L252" i="10" l="1"/>
  <c r="L245" i="10"/>
  <c r="L246" i="10" s="1"/>
  <c r="V129" i="4"/>
  <c r="V139" i="4"/>
  <c r="V141" i="4" s="1"/>
  <c r="Q157" i="11"/>
  <c r="Q158" i="11"/>
  <c r="V155" i="4" l="1"/>
  <c r="V158" i="4" s="1"/>
  <c r="L227" i="10"/>
  <c r="L228" i="10" s="1"/>
  <c r="V130" i="4"/>
  <c r="L251" i="10"/>
  <c r="L248" i="10"/>
  <c r="L253" i="10" s="1"/>
  <c r="L233" i="10" l="1"/>
  <c r="L230" i="10"/>
  <c r="L235" i="10" s="1"/>
  <c r="V125" i="4"/>
  <c r="W127" i="4"/>
  <c r="V204" i="4"/>
  <c r="W136" i="4" l="1"/>
  <c r="M225" i="10"/>
  <c r="V229" i="4"/>
  <c r="V250" i="4" s="1"/>
  <c r="V307" i="4"/>
  <c r="P31" i="5"/>
  <c r="P48" i="5" s="1"/>
  <c r="P63" i="5"/>
  <c r="O69" i="10"/>
  <c r="W156" i="4" l="1"/>
  <c r="W181" i="4" s="1"/>
  <c r="M244" i="10"/>
  <c r="V267" i="4"/>
  <c r="V269" i="4" s="1"/>
  <c r="L102" i="10"/>
  <c r="O78" i="10"/>
  <c r="O82" i="10" s="1"/>
  <c r="O81" i="10"/>
  <c r="W223" i="4" l="1"/>
  <c r="W245" i="4" s="1"/>
  <c r="R133" i="11"/>
  <c r="V273" i="4"/>
  <c r="R97" i="11" l="1"/>
  <c r="V274" i="4"/>
  <c r="V335" i="4"/>
  <c r="V276" i="4" l="1"/>
  <c r="V278" i="4" s="1"/>
  <c r="V205" i="4"/>
  <c r="W271" i="4"/>
  <c r="V279" i="4" l="1"/>
  <c r="V286" i="4" s="1"/>
  <c r="V334" i="4"/>
  <c r="V115" i="4"/>
  <c r="V283" i="4" s="1"/>
  <c r="V230" i="4"/>
  <c r="V251" i="4" s="1"/>
  <c r="V210" i="4" l="1"/>
  <c r="V287" i="4"/>
  <c r="V291" i="4" s="1"/>
  <c r="V337" i="4"/>
  <c r="V293" i="4" l="1"/>
  <c r="O74" i="10"/>
  <c r="V294" i="4"/>
  <c r="V295" i="4"/>
  <c r="V114" i="4" s="1"/>
  <c r="V296" i="4" l="1"/>
  <c r="V109" i="4"/>
  <c r="V336" i="4"/>
  <c r="V333" i="4"/>
  <c r="V108" i="4"/>
  <c r="V282" i="4"/>
  <c r="V116" i="4"/>
  <c r="V195" i="4" l="1"/>
  <c r="V310" i="4"/>
  <c r="O43" i="5"/>
  <c r="L297" i="10" s="1"/>
  <c r="L304" i="10" s="1"/>
  <c r="V351" i="4"/>
  <c r="W113" i="4"/>
  <c r="V206" i="4"/>
  <c r="V284" i="4"/>
  <c r="V110" i="4"/>
  <c r="V228" i="4" l="1"/>
  <c r="O62" i="10"/>
  <c r="V308" i="4"/>
  <c r="V309" i="4" s="1"/>
  <c r="P32" i="5"/>
  <c r="P49" i="5" s="1"/>
  <c r="V349" i="4"/>
  <c r="V538" i="4" s="1"/>
  <c r="V350" i="4"/>
  <c r="V549" i="4" s="1"/>
  <c r="W281" i="4"/>
  <c r="W119" i="4"/>
  <c r="V207" i="4"/>
  <c r="O70" i="10"/>
  <c r="O71" i="10" s="1"/>
  <c r="V231" i="4"/>
  <c r="V252" i="4" s="1"/>
  <c r="V208" i="4"/>
  <c r="W107" i="4"/>
  <c r="V311" i="4" l="1"/>
  <c r="V338" i="4"/>
  <c r="W183" i="4"/>
  <c r="W272" i="4"/>
  <c r="L103" i="10"/>
  <c r="O72" i="10"/>
  <c r="O75" i="10" s="1"/>
  <c r="V211" i="4"/>
  <c r="V339" i="4" l="1"/>
  <c r="O60" i="5"/>
  <c r="L331" i="10" s="1"/>
  <c r="L335" i="10" s="1"/>
  <c r="V361" i="4"/>
  <c r="W185" i="4"/>
  <c r="P39" i="10"/>
  <c r="W225" i="4"/>
  <c r="W247" i="4" s="1"/>
  <c r="R135" i="11"/>
  <c r="V233" i="4"/>
  <c r="W102" i="4" l="1"/>
  <c r="W104" i="4" s="1"/>
  <c r="W186" i="4" s="1"/>
  <c r="W187" i="4" s="1"/>
  <c r="M100" i="10"/>
  <c r="P41" i="10"/>
  <c r="R137" i="11"/>
  <c r="R99" i="11"/>
  <c r="V234" i="4"/>
  <c r="V236" i="4" s="1"/>
  <c r="V254" i="4"/>
  <c r="W218" i="4" l="1"/>
  <c r="W220" i="4" s="1"/>
  <c r="P26" i="5" s="1"/>
  <c r="M264" i="10" s="1"/>
  <c r="M271" i="10" s="1"/>
  <c r="W241" i="4"/>
  <c r="P42" i="10"/>
  <c r="P43" i="10" s="1"/>
  <c r="R138" i="11"/>
  <c r="W209" i="4"/>
  <c r="W192" i="4"/>
  <c r="R101" i="11"/>
  <c r="V255" i="4"/>
  <c r="V258" i="4" s="1"/>
  <c r="L104" i="10"/>
  <c r="L105" i="10" s="1"/>
  <c r="L107" i="10" s="1"/>
  <c r="M106" i="10" s="1"/>
  <c r="P73" i="10" l="1"/>
  <c r="P47" i="10"/>
  <c r="R102" i="11"/>
  <c r="R139" i="11"/>
  <c r="M97" i="10"/>
  <c r="W243" i="4"/>
  <c r="W257" i="4"/>
  <c r="W268" i="4" s="1"/>
  <c r="V261" i="4"/>
  <c r="V260" i="4"/>
  <c r="V298" i="4"/>
  <c r="R143" i="11" l="1"/>
  <c r="R103" i="11"/>
  <c r="R155" i="11"/>
  <c r="M99" i="10"/>
  <c r="W132" i="4"/>
  <c r="R107" i="11" l="1"/>
  <c r="R153" i="11"/>
  <c r="M110" i="10"/>
  <c r="M114" i="10"/>
  <c r="M109" i="10"/>
  <c r="M115" i="10" s="1"/>
  <c r="M247" i="10"/>
  <c r="W137" i="4"/>
  <c r="W135" i="4" s="1"/>
  <c r="W140" i="4"/>
  <c r="R157" i="11" l="1"/>
  <c r="R158" i="11"/>
  <c r="M252" i="10"/>
  <c r="M245" i="10"/>
  <c r="M246" i="10" s="1"/>
  <c r="W129" i="4"/>
  <c r="W139" i="4"/>
  <c r="W141" i="4" s="1"/>
  <c r="M251" i="10" l="1"/>
  <c r="M248" i="10"/>
  <c r="M253" i="10" s="1"/>
  <c r="W155" i="4"/>
  <c r="W158" i="4" s="1"/>
  <c r="M227" i="10"/>
  <c r="M228" i="10" s="1"/>
  <c r="W130" i="4"/>
  <c r="M230" i="10" l="1"/>
  <c r="M235" i="10" s="1"/>
  <c r="M233" i="10"/>
  <c r="W125" i="4"/>
  <c r="W204" i="4"/>
  <c r="X127" i="4"/>
  <c r="W307" i="4" l="1"/>
  <c r="W229" i="4"/>
  <c r="W250" i="4" s="1"/>
  <c r="Q63" i="5"/>
  <c r="Q31" i="5"/>
  <c r="Q48" i="5" s="1"/>
  <c r="P69" i="10"/>
  <c r="X136" i="4"/>
  <c r="N225" i="10"/>
  <c r="W267" i="4" l="1"/>
  <c r="W269" i="4" s="1"/>
  <c r="M102" i="10"/>
  <c r="P78" i="10"/>
  <c r="P82" i="10" s="1"/>
  <c r="P81" i="10"/>
  <c r="X156" i="4"/>
  <c r="X181" i="4" s="1"/>
  <c r="N244" i="10"/>
  <c r="P244" i="10" s="1"/>
  <c r="W273" i="4" l="1"/>
  <c r="S133" i="11"/>
  <c r="X223" i="4"/>
  <c r="X245" i="4" s="1"/>
  <c r="W274" i="4" l="1"/>
  <c r="W335" i="4"/>
  <c r="S97" i="11"/>
  <c r="W276" i="4" l="1"/>
  <c r="W278" i="4" s="1"/>
  <c r="X271" i="4"/>
  <c r="W205" i="4"/>
  <c r="W279" i="4" l="1"/>
  <c r="W286" i="4" s="1"/>
  <c r="W334" i="4"/>
  <c r="W115" i="4"/>
  <c r="W283" i="4" s="1"/>
  <c r="W230" i="4"/>
  <c r="W251" i="4" s="1"/>
  <c r="W210" i="4" l="1"/>
  <c r="W337" i="4"/>
  <c r="W287" i="4"/>
  <c r="W291" i="4" s="1"/>
  <c r="W293" i="4" l="1"/>
  <c r="P74" i="10"/>
  <c r="W294" i="4"/>
  <c r="W295" i="4"/>
  <c r="W114" i="4" s="1"/>
  <c r="W296" i="4" l="1"/>
  <c r="W109" i="4"/>
  <c r="W336" i="4"/>
  <c r="W108" i="4"/>
  <c r="W333" i="4"/>
  <c r="W282" i="4"/>
  <c r="W116" i="4"/>
  <c r="W110" i="4" l="1"/>
  <c r="W195" i="4"/>
  <c r="W310" i="4"/>
  <c r="P43" i="5"/>
  <c r="M297" i="10" s="1"/>
  <c r="M304" i="10" s="1"/>
  <c r="W351" i="4"/>
  <c r="W284" i="4"/>
  <c r="W206" i="4"/>
  <c r="X113" i="4"/>
  <c r="X107" i="4" l="1"/>
  <c r="W208" i="4"/>
  <c r="Q32" i="5"/>
  <c r="Q49" i="5" s="1"/>
  <c r="P62" i="10"/>
  <c r="W308" i="4"/>
  <c r="W309" i="4" s="1"/>
  <c r="W228" i="4"/>
  <c r="W349" i="4"/>
  <c r="W538" i="4" s="1"/>
  <c r="W350" i="4"/>
  <c r="W549" i="4" s="1"/>
  <c r="W207" i="4"/>
  <c r="P70" i="10"/>
  <c r="P71" i="10" s="1"/>
  <c r="W231" i="4"/>
  <c r="W252" i="4" s="1"/>
  <c r="X281" i="4"/>
  <c r="X119" i="4"/>
  <c r="W211" i="4" l="1"/>
  <c r="P72" i="10"/>
  <c r="P75" i="10" s="1"/>
  <c r="W311" i="4"/>
  <c r="W338" i="4"/>
  <c r="M103" i="10"/>
  <c r="X183" i="4"/>
  <c r="X272" i="4"/>
  <c r="W233" i="4" l="1"/>
  <c r="P60" i="5"/>
  <c r="M331" i="10" s="1"/>
  <c r="M335" i="10" s="1"/>
  <c r="W361" i="4"/>
  <c r="W339" i="4"/>
  <c r="X185" i="4"/>
  <c r="X102" i="4" s="1"/>
  <c r="X104" i="4" s="1"/>
  <c r="X186" i="4" s="1"/>
  <c r="Q39" i="10"/>
  <c r="X225" i="4"/>
  <c r="X247" i="4" s="1"/>
  <c r="S135" i="11"/>
  <c r="W234" i="4" l="1"/>
  <c r="W236" i="4" s="1"/>
  <c r="W254" i="4"/>
  <c r="X187" i="4"/>
  <c r="S138" i="11"/>
  <c r="S102" i="11" s="1"/>
  <c r="Q42" i="10"/>
  <c r="S42" i="10" s="1"/>
  <c r="X241" i="4"/>
  <c r="X218" i="4"/>
  <c r="X220" i="4" s="1"/>
  <c r="Q26" i="5" s="1"/>
  <c r="Q41" i="10"/>
  <c r="N100" i="10"/>
  <c r="P100" i="10" s="1"/>
  <c r="S39" i="10"/>
  <c r="S137" i="11"/>
  <c r="S99" i="11"/>
  <c r="W255" i="4" l="1"/>
  <c r="W258" i="4" s="1"/>
  <c r="M104" i="10"/>
  <c r="M105" i="10" s="1"/>
  <c r="M107" i="10" s="1"/>
  <c r="N106" i="10" s="1"/>
  <c r="X192" i="4"/>
  <c r="D5" i="2" s="1"/>
  <c r="X209" i="4"/>
  <c r="X243" i="4"/>
  <c r="N97" i="10"/>
  <c r="P97" i="10" s="1"/>
  <c r="Q27" i="5"/>
  <c r="N264" i="10"/>
  <c r="N271" i="10" s="1"/>
  <c r="E273" i="10" s="1"/>
  <c r="Q28" i="5"/>
  <c r="Q43" i="10"/>
  <c r="S41" i="10"/>
  <c r="S139" i="11"/>
  <c r="S101" i="11"/>
  <c r="X257" i="4" l="1"/>
  <c r="X268" i="4" s="1"/>
  <c r="W261" i="4"/>
  <c r="W260" i="4"/>
  <c r="W298" i="4"/>
  <c r="D5" i="11"/>
  <c r="D5" i="4" s="1"/>
  <c r="F5" i="13"/>
  <c r="E5" i="10"/>
  <c r="D5" i="12"/>
  <c r="N99" i="10"/>
  <c r="X132" i="4"/>
  <c r="P27" i="5"/>
  <c r="O27" i="5" s="1"/>
  <c r="N27" i="5" s="1"/>
  <c r="M27" i="5" s="1"/>
  <c r="L27" i="5" s="1"/>
  <c r="K27" i="5" s="1"/>
  <c r="J27" i="5" s="1"/>
  <c r="I27" i="5" s="1"/>
  <c r="H27" i="5" s="1"/>
  <c r="Q45" i="5"/>
  <c r="E284" i="10"/>
  <c r="Q29" i="5"/>
  <c r="N265" i="10"/>
  <c r="E274" i="10" s="1"/>
  <c r="Q47" i="10"/>
  <c r="Q73" i="10"/>
  <c r="S43" i="10"/>
  <c r="S47" i="10" s="1"/>
  <c r="S155" i="11"/>
  <c r="S103" i="11"/>
  <c r="S143" i="11"/>
  <c r="I139" i="11"/>
  <c r="I143" i="11" s="1"/>
  <c r="N114" i="10" l="1"/>
  <c r="N110" i="10"/>
  <c r="N109" i="10"/>
  <c r="N115" i="10" s="1"/>
  <c r="P99" i="10"/>
  <c r="X140" i="4"/>
  <c r="X137" i="4"/>
  <c r="X135" i="4" s="1"/>
  <c r="N247" i="10"/>
  <c r="Q46" i="5"/>
  <c r="P46" i="5" s="1"/>
  <c r="O46" i="5" s="1"/>
  <c r="N46" i="5" s="1"/>
  <c r="M46" i="5" s="1"/>
  <c r="L46" i="5" s="1"/>
  <c r="K46" i="5" s="1"/>
  <c r="J46" i="5" s="1"/>
  <c r="I46" i="5" s="1"/>
  <c r="H46" i="5" s="1"/>
  <c r="N298" i="10"/>
  <c r="E307" i="10" s="1"/>
  <c r="E319" i="10" s="1"/>
  <c r="Q30" i="5"/>
  <c r="P29" i="5"/>
  <c r="I155" i="11"/>
  <c r="I103" i="11"/>
  <c r="I107" i="11" s="1"/>
  <c r="S153" i="11"/>
  <c r="S107" i="11"/>
  <c r="E285" i="10"/>
  <c r="E286" i="10" s="1"/>
  <c r="E275" i="10"/>
  <c r="E278" i="10" s="1"/>
  <c r="E280" i="10" s="1"/>
  <c r="P109" i="10" l="1"/>
  <c r="P110" i="10"/>
  <c r="X129" i="4"/>
  <c r="N245" i="10"/>
  <c r="X139" i="4"/>
  <c r="X141" i="4" s="1"/>
  <c r="D141" i="4" s="1"/>
  <c r="D78" i="2" s="1"/>
  <c r="P247" i="10"/>
  <c r="N252" i="10"/>
  <c r="Q33" i="5"/>
  <c r="Q35" i="5"/>
  <c r="P30" i="5"/>
  <c r="O29" i="5"/>
  <c r="I153" i="11"/>
  <c r="S158" i="11"/>
  <c r="S157" i="11"/>
  <c r="I158" i="11" l="1"/>
  <c r="I157" i="11"/>
  <c r="X130" i="4"/>
  <c r="N227" i="10"/>
  <c r="X155" i="4"/>
  <c r="X158" i="4" s="1"/>
  <c r="D160" i="4" s="1"/>
  <c r="D83" i="2" s="1"/>
  <c r="D7" i="2" s="1"/>
  <c r="N246" i="10"/>
  <c r="P245" i="10"/>
  <c r="P33" i="5"/>
  <c r="P36" i="5" s="1"/>
  <c r="P35" i="5"/>
  <c r="N29" i="5"/>
  <c r="O30" i="5"/>
  <c r="D87" i="2" l="1"/>
  <c r="D10" i="4"/>
  <c r="D11" i="2" s="1"/>
  <c r="D11" i="12" s="1"/>
  <c r="X125" i="4"/>
  <c r="D84" i="2" s="1"/>
  <c r="X204" i="4"/>
  <c r="P227" i="10"/>
  <c r="N228" i="10"/>
  <c r="E7" i="10"/>
  <c r="D7" i="12"/>
  <c r="D7" i="11"/>
  <c r="D7" i="4" s="1"/>
  <c r="F7" i="13"/>
  <c r="N248" i="10"/>
  <c r="P246" i="10"/>
  <c r="N251" i="10"/>
  <c r="M29" i="5"/>
  <c r="N30" i="5"/>
  <c r="O33" i="5"/>
  <c r="O36" i="5" s="1"/>
  <c r="O35" i="5"/>
  <c r="D8" i="2" l="1"/>
  <c r="D85" i="2"/>
  <c r="Q69" i="10"/>
  <c r="X229" i="4"/>
  <c r="X250" i="4" s="1"/>
  <c r="X307" i="4"/>
  <c r="N233" i="10"/>
  <c r="N230" i="10"/>
  <c r="N235" i="10" s="1"/>
  <c r="N253" i="10"/>
  <c r="P248" i="10"/>
  <c r="L29" i="5"/>
  <c r="M30" i="5"/>
  <c r="N33" i="5"/>
  <c r="N36" i="5" s="1"/>
  <c r="N35" i="5"/>
  <c r="E8" i="10" l="1"/>
  <c r="D8" i="11"/>
  <c r="D8" i="4" s="1"/>
  <c r="F8" i="13"/>
  <c r="D8" i="12"/>
  <c r="Q78" i="10"/>
  <c r="Q82" i="10" s="1"/>
  <c r="Q81" i="10"/>
  <c r="X267" i="4"/>
  <c r="X269" i="4" s="1"/>
  <c r="N102" i="10"/>
  <c r="K29" i="5"/>
  <c r="L30" i="5"/>
  <c r="M33" i="5"/>
  <c r="M36" i="5" s="1"/>
  <c r="M35" i="5"/>
  <c r="X273" i="4" l="1"/>
  <c r="P102" i="10"/>
  <c r="K30" i="5"/>
  <c r="J29" i="5"/>
  <c r="L33" i="5"/>
  <c r="L36" i="5" s="1"/>
  <c r="L35" i="5"/>
  <c r="X274" i="4" l="1"/>
  <c r="X335" i="4"/>
  <c r="K33" i="5"/>
  <c r="K36" i="5" s="1"/>
  <c r="K35" i="5"/>
  <c r="I29" i="5"/>
  <c r="J30" i="5"/>
  <c r="X276" i="4" l="1"/>
  <c r="X278" i="4" s="1"/>
  <c r="X205" i="4"/>
  <c r="H29" i="5"/>
  <c r="H30" i="5" s="1"/>
  <c r="I30" i="5"/>
  <c r="J33" i="5"/>
  <c r="J36" i="5" s="1"/>
  <c r="J35" i="5"/>
  <c r="X279" i="4" l="1"/>
  <c r="X286" i="4" s="1"/>
  <c r="X334" i="4"/>
  <c r="X115" i="4"/>
  <c r="X283" i="4" s="1"/>
  <c r="X230" i="4"/>
  <c r="X251" i="4" s="1"/>
  <c r="F65" i="8"/>
  <c r="F17" i="8"/>
  <c r="H33" i="5"/>
  <c r="H36" i="5" s="1"/>
  <c r="E281" i="10" s="1"/>
  <c r="H35" i="5"/>
  <c r="D36" i="2" s="1"/>
  <c r="I35" i="5"/>
  <c r="I33" i="5"/>
  <c r="I36" i="5" s="1"/>
  <c r="X210" i="4" l="1"/>
  <c r="X337" i="4"/>
  <c r="X287" i="4"/>
  <c r="X291" i="4" s="1"/>
  <c r="H65" i="8"/>
  <c r="D65" i="8"/>
  <c r="L65" i="8" s="1"/>
  <c r="D17" i="8"/>
  <c r="H17" i="8"/>
  <c r="F41" i="8"/>
  <c r="M65" i="8" l="1"/>
  <c r="G65" i="8"/>
  <c r="X293" i="4"/>
  <c r="Q74" i="10"/>
  <c r="X294" i="4"/>
  <c r="X295" i="4"/>
  <c r="X114" i="4" s="1"/>
  <c r="E65" i="8"/>
  <c r="D66" i="8"/>
  <c r="K65" i="8"/>
  <c r="D18" i="8"/>
  <c r="D41" i="8"/>
  <c r="K17" i="8"/>
  <c r="E17" i="8"/>
  <c r="E41" i="8" s="1"/>
  <c r="L17" i="8"/>
  <c r="M17" i="8"/>
  <c r="H41" i="8"/>
  <c r="M41" i="8" s="1"/>
  <c r="G17" i="8"/>
  <c r="G41" i="8" s="1"/>
  <c r="X336" i="4" l="1"/>
  <c r="X296" i="4"/>
  <c r="X109" i="4"/>
  <c r="X333" i="4"/>
  <c r="X108" i="4"/>
  <c r="X282" i="4"/>
  <c r="X116" i="4"/>
  <c r="K66" i="8"/>
  <c r="AS66" i="8"/>
  <c r="AR66" i="8" s="1"/>
  <c r="D67" i="8"/>
  <c r="H66" i="8"/>
  <c r="H18" i="8"/>
  <c r="F18" i="8" s="1"/>
  <c r="K18" i="8"/>
  <c r="D19" i="8"/>
  <c r="AS18" i="8"/>
  <c r="AR18" i="8" s="1"/>
  <c r="L41" i="8"/>
  <c r="D42" i="8"/>
  <c r="K41" i="8"/>
  <c r="X110" i="4" l="1"/>
  <c r="X208" i="4" s="1"/>
  <c r="X310" i="4"/>
  <c r="X195" i="4"/>
  <c r="Q43" i="5"/>
  <c r="X351" i="4"/>
  <c r="X206" i="4"/>
  <c r="X284" i="4"/>
  <c r="H67" i="8"/>
  <c r="K67" i="8"/>
  <c r="AS67" i="8"/>
  <c r="AR67" i="8" s="1"/>
  <c r="F66" i="8"/>
  <c r="G18" i="8"/>
  <c r="E18" i="8"/>
  <c r="H19" i="8"/>
  <c r="F19" i="8" s="1"/>
  <c r="K19" i="8"/>
  <c r="AS19" i="8"/>
  <c r="AR19" i="8" s="1"/>
  <c r="D43" i="8"/>
  <c r="K42" i="8"/>
  <c r="H42" i="8"/>
  <c r="AS42" i="8"/>
  <c r="AR42" i="8" s="1"/>
  <c r="Q72" i="10" l="1"/>
  <c r="Q75" i="10" s="1"/>
  <c r="X211" i="4"/>
  <c r="X228" i="4"/>
  <c r="X308" i="4"/>
  <c r="X309" i="4" s="1"/>
  <c r="Q62" i="10"/>
  <c r="N297" i="10"/>
  <c r="N304" i="10" s="1"/>
  <c r="E306" i="10" s="1"/>
  <c r="Q44" i="5"/>
  <c r="X350" i="4"/>
  <c r="X349" i="4"/>
  <c r="D351" i="4"/>
  <c r="X207" i="4"/>
  <c r="Q70" i="10"/>
  <c r="Q71" i="10" s="1"/>
  <c r="X231" i="4"/>
  <c r="X252" i="4" s="1"/>
  <c r="F67" i="8"/>
  <c r="G66" i="8"/>
  <c r="E66" i="8"/>
  <c r="O18" i="8"/>
  <c r="N18" i="8"/>
  <c r="G19" i="8"/>
  <c r="E19" i="8"/>
  <c r="H43" i="8"/>
  <c r="AS43" i="8"/>
  <c r="AR43" i="8" s="1"/>
  <c r="K43" i="8"/>
  <c r="F42" i="8"/>
  <c r="L18" i="8"/>
  <c r="M18" i="8"/>
  <c r="Q36" i="5" l="1"/>
  <c r="X233" i="4"/>
  <c r="X338" i="4"/>
  <c r="D342" i="4" s="1"/>
  <c r="D574" i="4" s="1"/>
  <c r="X311" i="4"/>
  <c r="E318" i="10"/>
  <c r="E320" i="10" s="1"/>
  <c r="E308" i="10"/>
  <c r="E311" i="10" s="1"/>
  <c r="E313" i="10" s="1"/>
  <c r="Q47" i="5"/>
  <c r="P44" i="5"/>
  <c r="D350" i="4"/>
  <c r="X549" i="4"/>
  <c r="X538" i="4"/>
  <c r="D349" i="4"/>
  <c r="D380" i="4"/>
  <c r="D357" i="4"/>
  <c r="D381" i="4" s="1"/>
  <c r="D409" i="4" s="1"/>
  <c r="N103" i="10"/>
  <c r="G67" i="8"/>
  <c r="E67" i="8"/>
  <c r="O66" i="8"/>
  <c r="N66" i="8"/>
  <c r="O19" i="8"/>
  <c r="N19" i="8"/>
  <c r="F43" i="8"/>
  <c r="G42" i="8"/>
  <c r="E42" i="8"/>
  <c r="L66" i="8"/>
  <c r="M66" i="8"/>
  <c r="L19" i="8"/>
  <c r="M19" i="8"/>
  <c r="X254" i="4" l="1"/>
  <c r="X234" i="4"/>
  <c r="X236" i="4" s="1"/>
  <c r="D236" i="4" s="1"/>
  <c r="Q60" i="5"/>
  <c r="X339" i="4"/>
  <c r="D341" i="4" s="1"/>
  <c r="D573" i="4" s="1"/>
  <c r="X361" i="4"/>
  <c r="Q50" i="5"/>
  <c r="Q52" i="5" s="1"/>
  <c r="Q53" i="5"/>
  <c r="O44" i="5"/>
  <c r="P47" i="5"/>
  <c r="D91" i="2"/>
  <c r="D359" i="4"/>
  <c r="O373" i="4" s="1"/>
  <c r="D358" i="4"/>
  <c r="D94" i="2"/>
  <c r="D382" i="4"/>
  <c r="D406" i="4"/>
  <c r="D397" i="4"/>
  <c r="P103" i="10"/>
  <c r="O67" i="8"/>
  <c r="N67" i="8"/>
  <c r="G43" i="8"/>
  <c r="E43" i="8"/>
  <c r="O42" i="8"/>
  <c r="N42" i="8"/>
  <c r="L67" i="8"/>
  <c r="M67" i="8"/>
  <c r="L42" i="8"/>
  <c r="M42" i="8"/>
  <c r="E136" i="10" l="1"/>
  <c r="M69" i="13" s="1"/>
  <c r="D57" i="5"/>
  <c r="D70" i="5"/>
  <c r="D9" i="2"/>
  <c r="X255" i="4"/>
  <c r="X258" i="4" s="1"/>
  <c r="N104" i="10"/>
  <c r="N331" i="10"/>
  <c r="N335" i="10" s="1"/>
  <c r="E337" i="10" s="1"/>
  <c r="Q61" i="5"/>
  <c r="D10" i="2"/>
  <c r="E137" i="10"/>
  <c r="N69" i="13" s="1"/>
  <c r="X362" i="4"/>
  <c r="N44" i="5"/>
  <c r="O47" i="5"/>
  <c r="P50" i="5"/>
  <c r="P52" i="5" s="1"/>
  <c r="P53" i="5"/>
  <c r="O365" i="4"/>
  <c r="O362" i="4"/>
  <c r="P362" i="4"/>
  <c r="Q362" i="4"/>
  <c r="R362" i="4"/>
  <c r="S362" i="4"/>
  <c r="T362" i="4"/>
  <c r="U362" i="4"/>
  <c r="V362" i="4"/>
  <c r="W362" i="4"/>
  <c r="D384" i="4"/>
  <c r="O390" i="4" s="1"/>
  <c r="D398" i="4"/>
  <c r="D386" i="4"/>
  <c r="D408" i="4"/>
  <c r="D410" i="4" s="1"/>
  <c r="D452" i="4"/>
  <c r="D454" i="4" s="1"/>
  <c r="O43" i="8"/>
  <c r="N43" i="8"/>
  <c r="L43" i="8"/>
  <c r="M43" i="8"/>
  <c r="M66" i="13" l="1"/>
  <c r="D10" i="12"/>
  <c r="E10" i="10"/>
  <c r="N66" i="13"/>
  <c r="G70" i="12"/>
  <c r="F9" i="13"/>
  <c r="D9" i="12"/>
  <c r="E9" i="10"/>
  <c r="D9" i="11"/>
  <c r="D9" i="4" s="1"/>
  <c r="P104" i="10"/>
  <c r="N105" i="10"/>
  <c r="X298" i="4"/>
  <c r="D298" i="4" s="1"/>
  <c r="X260" i="4"/>
  <c r="D260" i="4" s="1"/>
  <c r="X261" i="4"/>
  <c r="D261" i="4" s="1"/>
  <c r="D13" i="4" s="1"/>
  <c r="E340" i="10"/>
  <c r="F343" i="10"/>
  <c r="F346" i="10" s="1"/>
  <c r="P61" i="5"/>
  <c r="Q62" i="5"/>
  <c r="M44" i="5"/>
  <c r="N47" i="5"/>
  <c r="O53" i="5"/>
  <c r="O50" i="5"/>
  <c r="O52" i="5" s="1"/>
  <c r="D411" i="4"/>
  <c r="D417" i="4"/>
  <c r="D419" i="4" s="1"/>
  <c r="D412" i="4"/>
  <c r="O366" i="4"/>
  <c r="P105" i="10" l="1"/>
  <c r="N107" i="10"/>
  <c r="O61" i="5"/>
  <c r="P62" i="5"/>
  <c r="Q68" i="5"/>
  <c r="Q65" i="5"/>
  <c r="Q67" i="5" s="1"/>
  <c r="L44" i="5"/>
  <c r="M47" i="5"/>
  <c r="N53" i="5"/>
  <c r="N50" i="5"/>
  <c r="N52" i="5" s="1"/>
  <c r="O367" i="4"/>
  <c r="P364" i="4" s="1"/>
  <c r="P366" i="4" s="1"/>
  <c r="O369" i="4"/>
  <c r="O370" i="4" s="1"/>
  <c r="O374" i="4" s="1"/>
  <c r="O539" i="4"/>
  <c r="E155" i="10" s="1"/>
  <c r="O62" i="5" l="1"/>
  <c r="N61" i="5"/>
  <c r="P68" i="5"/>
  <c r="P65" i="5"/>
  <c r="P67" i="5" s="1"/>
  <c r="L47" i="5"/>
  <c r="K44" i="5"/>
  <c r="M53" i="5"/>
  <c r="M50" i="5"/>
  <c r="M52" i="5" s="1"/>
  <c r="P539" i="4"/>
  <c r="F155" i="10" s="1"/>
  <c r="P369" i="4"/>
  <c r="P367" i="4"/>
  <c r="Q364" i="4" s="1"/>
  <c r="Q366" i="4" s="1"/>
  <c r="O375" i="4"/>
  <c r="P372" i="4" s="1"/>
  <c r="O550" i="4"/>
  <c r="E187" i="10" s="1"/>
  <c r="O377" i="4"/>
  <c r="O386" i="4" s="1"/>
  <c r="O387" i="4" s="1"/>
  <c r="O391" i="4" s="1"/>
  <c r="O68" i="5" l="1"/>
  <c r="O65" i="5"/>
  <c r="O67" i="5" s="1"/>
  <c r="N62" i="5"/>
  <c r="M61" i="5"/>
  <c r="L53" i="5"/>
  <c r="L50" i="5"/>
  <c r="L52" i="5" s="1"/>
  <c r="J44" i="5"/>
  <c r="K47" i="5"/>
  <c r="P370" i="4"/>
  <c r="P374" i="4" s="1"/>
  <c r="P375" i="4" s="1"/>
  <c r="Q372" i="4" s="1"/>
  <c r="Q539" i="4"/>
  <c r="G155" i="10" s="1"/>
  <c r="Q369" i="4"/>
  <c r="Q367" i="4"/>
  <c r="R364" i="4" s="1"/>
  <c r="O392" i="4"/>
  <c r="P389" i="4" s="1"/>
  <c r="O555" i="4"/>
  <c r="E192" i="10" s="1"/>
  <c r="O394" i="4"/>
  <c r="N65" i="5" l="1"/>
  <c r="N67" i="5" s="1"/>
  <c r="N68" i="5"/>
  <c r="M62" i="5"/>
  <c r="L61" i="5"/>
  <c r="I44" i="5"/>
  <c r="J47" i="5"/>
  <c r="K50" i="5"/>
  <c r="K52" i="5" s="1"/>
  <c r="K53" i="5"/>
  <c r="Q370" i="4"/>
  <c r="Q374" i="4" s="1"/>
  <c r="Q375" i="4" s="1"/>
  <c r="R372" i="4" s="1"/>
  <c r="R366" i="4"/>
  <c r="R367" i="4" s="1"/>
  <c r="S364" i="4" s="1"/>
  <c r="S366" i="4" s="1"/>
  <c r="O426" i="4"/>
  <c r="P550" i="4"/>
  <c r="F187" i="10" s="1"/>
  <c r="P377" i="4"/>
  <c r="P386" i="4" s="1"/>
  <c r="P387" i="4" s="1"/>
  <c r="P391" i="4" s="1"/>
  <c r="M68" i="5" l="1"/>
  <c r="M65" i="5"/>
  <c r="M67" i="5" s="1"/>
  <c r="K61" i="5"/>
  <c r="L62" i="5"/>
  <c r="H44" i="5"/>
  <c r="H47" i="5" s="1"/>
  <c r="I47" i="5"/>
  <c r="J50" i="5"/>
  <c r="J52" i="5" s="1"/>
  <c r="J53" i="5"/>
  <c r="R539" i="4"/>
  <c r="H155" i="10" s="1"/>
  <c r="R369" i="4"/>
  <c r="S539" i="4"/>
  <c r="I155" i="10" s="1"/>
  <c r="S369" i="4"/>
  <c r="S367" i="4"/>
  <c r="T364" i="4" s="1"/>
  <c r="T366" i="4" s="1"/>
  <c r="P394" i="4"/>
  <c r="P555" i="4"/>
  <c r="F192" i="10" s="1"/>
  <c r="P392" i="4"/>
  <c r="Q389" i="4" s="1"/>
  <c r="Q550" i="4"/>
  <c r="G187" i="10" s="1"/>
  <c r="Q377" i="4"/>
  <c r="Q386" i="4" s="1"/>
  <c r="K155" i="10" l="1"/>
  <c r="D168" i="10" s="1"/>
  <c r="J61" i="5"/>
  <c r="K62" i="5"/>
  <c r="L68" i="5"/>
  <c r="L65" i="5"/>
  <c r="L67" i="5" s="1"/>
  <c r="H50" i="5"/>
  <c r="H52" i="5" s="1"/>
  <c r="D37" i="2" s="1"/>
  <c r="H53" i="5"/>
  <c r="E314" i="10" s="1"/>
  <c r="I53" i="5"/>
  <c r="I50" i="5"/>
  <c r="I52" i="5" s="1"/>
  <c r="R370" i="4"/>
  <c r="R374" i="4" s="1"/>
  <c r="R377" i="4" s="1"/>
  <c r="R386" i="4" s="1"/>
  <c r="S370" i="4"/>
  <c r="T539" i="4"/>
  <c r="T369" i="4"/>
  <c r="T367" i="4"/>
  <c r="U364" i="4" s="1"/>
  <c r="U366" i="4" s="1"/>
  <c r="P426" i="4"/>
  <c r="Q387" i="4"/>
  <c r="Q391" i="4" s="1"/>
  <c r="Q394" i="4" s="1"/>
  <c r="I61" i="5" l="1"/>
  <c r="J62" i="5"/>
  <c r="K68" i="5"/>
  <c r="K65" i="5"/>
  <c r="K67" i="5" s="1"/>
  <c r="R387" i="4"/>
  <c r="R375" i="4"/>
  <c r="S372" i="4" s="1"/>
  <c r="R550" i="4"/>
  <c r="H187" i="10" s="1"/>
  <c r="T370" i="4"/>
  <c r="U539" i="4"/>
  <c r="U369" i="4"/>
  <c r="U367" i="4"/>
  <c r="V364" i="4" s="1"/>
  <c r="V366" i="4" s="1"/>
  <c r="Q392" i="4"/>
  <c r="R389" i="4" s="1"/>
  <c r="Q555" i="4"/>
  <c r="G192" i="10" s="1"/>
  <c r="Q426" i="4"/>
  <c r="H61" i="5" l="1"/>
  <c r="H62" i="5" s="1"/>
  <c r="I62" i="5"/>
  <c r="J65" i="5"/>
  <c r="J67" i="5" s="1"/>
  <c r="J68" i="5"/>
  <c r="S374" i="4"/>
  <c r="S375" i="4" s="1"/>
  <c r="T372" i="4" s="1"/>
  <c r="T374" i="4" s="1"/>
  <c r="U370" i="4"/>
  <c r="V539" i="4"/>
  <c r="V369" i="4"/>
  <c r="V367" i="4"/>
  <c r="W364" i="4" s="1"/>
  <c r="W366" i="4" s="1"/>
  <c r="R391" i="4"/>
  <c r="R392" i="4" s="1"/>
  <c r="S389" i="4" s="1"/>
  <c r="H65" i="5" l="1"/>
  <c r="H67" i="5" s="1"/>
  <c r="H68" i="5"/>
  <c r="I68" i="5"/>
  <c r="I65" i="5"/>
  <c r="I67" i="5" s="1"/>
  <c r="S377" i="4"/>
  <c r="S386" i="4" s="1"/>
  <c r="S550" i="4"/>
  <c r="I187" i="10" s="1"/>
  <c r="K187" i="10" s="1"/>
  <c r="D204" i="10" s="1"/>
  <c r="T377" i="4"/>
  <c r="T386" i="4" s="1"/>
  <c r="T550" i="4"/>
  <c r="T375" i="4"/>
  <c r="U372" i="4" s="1"/>
  <c r="U374" i="4" s="1"/>
  <c r="V370" i="4"/>
  <c r="W539" i="4"/>
  <c r="W369" i="4"/>
  <c r="W367" i="4"/>
  <c r="X364" i="4" s="1"/>
  <c r="X366" i="4" s="1"/>
  <c r="R394" i="4"/>
  <c r="R555" i="4"/>
  <c r="H192" i="10" s="1"/>
  <c r="D38" i="2" l="1"/>
  <c r="D40" i="2" s="1"/>
  <c r="F62" i="8"/>
  <c r="F14" i="8"/>
  <c r="S387" i="4"/>
  <c r="S391" i="4" s="1"/>
  <c r="S394" i="4" s="1"/>
  <c r="S426" i="4" s="1"/>
  <c r="T387" i="4"/>
  <c r="U377" i="4"/>
  <c r="U386" i="4" s="1"/>
  <c r="U550" i="4"/>
  <c r="U375" i="4"/>
  <c r="V372" i="4" s="1"/>
  <c r="V374" i="4" s="1"/>
  <c r="W370" i="4"/>
  <c r="X369" i="4"/>
  <c r="X539" i="4"/>
  <c r="X367" i="4"/>
  <c r="R426" i="4"/>
  <c r="H62" i="8" l="1"/>
  <c r="D62" i="8"/>
  <c r="H14" i="8"/>
  <c r="F38" i="8"/>
  <c r="D14" i="8"/>
  <c r="S392" i="4"/>
  <c r="T389" i="4" s="1"/>
  <c r="T391" i="4" s="1"/>
  <c r="S555" i="4"/>
  <c r="I192" i="10" s="1"/>
  <c r="K192" i="10" s="1"/>
  <c r="D209" i="10" s="1"/>
  <c r="U387" i="4"/>
  <c r="V377" i="4"/>
  <c r="V386" i="4" s="1"/>
  <c r="V550" i="4"/>
  <c r="V375" i="4"/>
  <c r="W372" i="4" s="1"/>
  <c r="W374" i="4" s="1"/>
  <c r="X370" i="4"/>
  <c r="K62" i="8" l="1"/>
  <c r="E62" i="8"/>
  <c r="L62" i="8"/>
  <c r="M14" i="8"/>
  <c r="H38" i="8"/>
  <c r="M38" i="8" s="1"/>
  <c r="G14" i="8"/>
  <c r="G38" i="8" s="1"/>
  <c r="D38" i="8"/>
  <c r="E14" i="8"/>
  <c r="E38" i="8" s="1"/>
  <c r="K14" i="8"/>
  <c r="L14" i="8"/>
  <c r="T394" i="4"/>
  <c r="T392" i="4"/>
  <c r="U389" i="4" s="1"/>
  <c r="U391" i="4" s="1"/>
  <c r="T555" i="4"/>
  <c r="V387" i="4"/>
  <c r="W377" i="4"/>
  <c r="W386" i="4" s="1"/>
  <c r="W550" i="4"/>
  <c r="W375" i="4"/>
  <c r="X372" i="4" s="1"/>
  <c r="X374" i="4" s="1"/>
  <c r="M62" i="8"/>
  <c r="G62" i="8"/>
  <c r="L38" i="8" l="1"/>
  <c r="K38" i="8"/>
  <c r="T426" i="4"/>
  <c r="U394" i="4"/>
  <c r="U555" i="4"/>
  <c r="U392" i="4"/>
  <c r="V389" i="4" s="1"/>
  <c r="W387" i="4"/>
  <c r="X377" i="4"/>
  <c r="X386" i="4" s="1"/>
  <c r="X550" i="4"/>
  <c r="X375" i="4"/>
  <c r="V391" i="4" l="1"/>
  <c r="V392" i="4" s="1"/>
  <c r="W389" i="4" s="1"/>
  <c r="X387" i="4"/>
  <c r="U426" i="4"/>
  <c r="W391" i="4" l="1"/>
  <c r="W392" i="4" s="1"/>
  <c r="X389" i="4" s="1"/>
  <c r="X391" i="4" s="1"/>
  <c r="V394" i="4"/>
  <c r="V555" i="4"/>
  <c r="X394" i="4" l="1"/>
  <c r="D399" i="4"/>
  <c r="X555" i="4"/>
  <c r="X392" i="4"/>
  <c r="W394" i="4"/>
  <c r="W426" i="4" s="1"/>
  <c r="W555" i="4"/>
  <c r="V426" i="4"/>
  <c r="X426" i="4" l="1"/>
  <c r="D426" i="4" s="1"/>
  <c r="D420" i="4" s="1"/>
  <c r="D421" i="4" s="1"/>
  <c r="D394" i="4"/>
  <c r="D402" i="4"/>
  <c r="E402" i="4" s="1"/>
  <c r="D400" i="4"/>
  <c r="D403" i="4"/>
  <c r="D423" i="4" l="1"/>
  <c r="D442" i="4" l="1"/>
  <c r="D424" i="4"/>
  <c r="D427" i="4" s="1"/>
  <c r="W427" i="4" l="1"/>
  <c r="W442" i="4" s="1"/>
  <c r="O427" i="4"/>
  <c r="O442" i="4" s="1"/>
  <c r="Q427" i="4"/>
  <c r="Q442" i="4" s="1"/>
  <c r="U427" i="4"/>
  <c r="U442" i="4" s="1"/>
  <c r="R427" i="4"/>
  <c r="R442" i="4" s="1"/>
  <c r="S427" i="4"/>
  <c r="S442" i="4" s="1"/>
  <c r="D429" i="4"/>
  <c r="O437" i="4" s="1"/>
  <c r="D428" i="4"/>
  <c r="O432" i="4" s="1"/>
  <c r="O445" i="4"/>
  <c r="X427" i="4"/>
  <c r="X442" i="4" s="1"/>
  <c r="T427" i="4"/>
  <c r="T442" i="4" s="1"/>
  <c r="P427" i="4"/>
  <c r="P442" i="4" s="1"/>
  <c r="V427" i="4"/>
  <c r="V442" i="4" s="1"/>
  <c r="O446" i="4" l="1"/>
  <c r="O433" i="4"/>
  <c r="O556" i="4" l="1"/>
  <c r="E193" i="10" s="1"/>
  <c r="O447" i="4"/>
  <c r="P444" i="4" s="1"/>
  <c r="P446" i="4" s="1"/>
  <c r="O434" i="4"/>
  <c r="P431" i="4" s="1"/>
  <c r="O540" i="4"/>
  <c r="E156" i="10" s="1"/>
  <c r="O438" i="4"/>
  <c r="P433" i="4" l="1"/>
  <c r="O441" i="4"/>
  <c r="O449" i="4" s="1"/>
  <c r="O477" i="4" s="1"/>
  <c r="O472" i="4" s="1"/>
  <c r="O551" i="4"/>
  <c r="E188" i="10" s="1"/>
  <c r="O439" i="4"/>
  <c r="P436" i="4" s="1"/>
  <c r="P556" i="4"/>
  <c r="F193" i="10" s="1"/>
  <c r="P447" i="4"/>
  <c r="Q444" i="4" s="1"/>
  <c r="P438" i="4" l="1"/>
  <c r="P441" i="4" s="1"/>
  <c r="P449" i="4" s="1"/>
  <c r="P477" i="4" s="1"/>
  <c r="Q446" i="4"/>
  <c r="P540" i="4"/>
  <c r="F156" i="10" s="1"/>
  <c r="P434" i="4"/>
  <c r="Q431" i="4" s="1"/>
  <c r="P439" i="4" l="1"/>
  <c r="Q436" i="4" s="1"/>
  <c r="P551" i="4"/>
  <c r="F188" i="10" s="1"/>
  <c r="Q556" i="4"/>
  <c r="G193" i="10" s="1"/>
  <c r="Q447" i="4"/>
  <c r="R444" i="4" s="1"/>
  <c r="Q433" i="4"/>
  <c r="Q434" i="4" s="1"/>
  <c r="R431" i="4" s="1"/>
  <c r="R433" i="4" s="1"/>
  <c r="P472" i="4"/>
  <c r="R446" i="4" l="1"/>
  <c r="Q438" i="4"/>
  <c r="Q540" i="4"/>
  <c r="G156" i="10" s="1"/>
  <c r="R540" i="4"/>
  <c r="H156" i="10" s="1"/>
  <c r="R434" i="4"/>
  <c r="S431" i="4" s="1"/>
  <c r="R556" i="4" l="1"/>
  <c r="H193" i="10" s="1"/>
  <c r="R447" i="4"/>
  <c r="S444" i="4" s="1"/>
  <c r="Q441" i="4"/>
  <c r="Q449" i="4" s="1"/>
  <c r="Q477" i="4" s="1"/>
  <c r="Q472" i="4" s="1"/>
  <c r="Q439" i="4"/>
  <c r="R436" i="4" s="1"/>
  <c r="R438" i="4" s="1"/>
  <c r="R439" i="4" s="1"/>
  <c r="S436" i="4" s="1"/>
  <c r="Q551" i="4"/>
  <c r="G188" i="10" s="1"/>
  <c r="S433" i="4"/>
  <c r="S434" i="4" s="1"/>
  <c r="T431" i="4" s="1"/>
  <c r="S446" i="4" l="1"/>
  <c r="R441" i="4"/>
  <c r="R449" i="4" s="1"/>
  <c r="R477" i="4" s="1"/>
  <c r="R472" i="4" s="1"/>
  <c r="R551" i="4"/>
  <c r="H188" i="10" s="1"/>
  <c r="S438" i="4"/>
  <c r="S441" i="4" s="1"/>
  <c r="S540" i="4"/>
  <c r="I156" i="10" s="1"/>
  <c r="T433" i="4"/>
  <c r="T434" i="4" s="1"/>
  <c r="U431" i="4" s="1"/>
  <c r="S449" i="4" l="1"/>
  <c r="S477" i="4" s="1"/>
  <c r="S472" i="4" s="1"/>
  <c r="S556" i="4"/>
  <c r="I193" i="10" s="1"/>
  <c r="K193" i="10" s="1"/>
  <c r="D210" i="10" s="1"/>
  <c r="S447" i="4"/>
  <c r="T444" i="4" s="1"/>
  <c r="K156" i="10"/>
  <c r="D169" i="10" s="1"/>
  <c r="T540" i="4"/>
  <c r="U433" i="4"/>
  <c r="U434" i="4" s="1"/>
  <c r="V431" i="4" s="1"/>
  <c r="V433" i="4" s="1"/>
  <c r="S551" i="4"/>
  <c r="I188" i="10" s="1"/>
  <c r="K188" i="10" s="1"/>
  <c r="D205" i="10" s="1"/>
  <c r="S439" i="4"/>
  <c r="T436" i="4" s="1"/>
  <c r="T446" i="4" l="1"/>
  <c r="V540" i="4"/>
  <c r="V434" i="4"/>
  <c r="W431" i="4" s="1"/>
  <c r="U540" i="4"/>
  <c r="T438" i="4"/>
  <c r="T439" i="4" s="1"/>
  <c r="U436" i="4" s="1"/>
  <c r="U438" i="4" s="1"/>
  <c r="U441" i="4" s="1"/>
  <c r="T556" i="4" l="1"/>
  <c r="T447" i="4"/>
  <c r="U444" i="4" s="1"/>
  <c r="U446" i="4" s="1"/>
  <c r="W433" i="4"/>
  <c r="W434" i="4" s="1"/>
  <c r="X431" i="4" s="1"/>
  <c r="T441" i="4"/>
  <c r="T449" i="4" s="1"/>
  <c r="T477" i="4" s="1"/>
  <c r="T472" i="4" s="1"/>
  <c r="T551" i="4"/>
  <c r="U551" i="4"/>
  <c r="U439" i="4"/>
  <c r="V436" i="4" s="1"/>
  <c r="V438" i="4" s="1"/>
  <c r="U449" i="4" l="1"/>
  <c r="U477" i="4" s="1"/>
  <c r="U472" i="4" s="1"/>
  <c r="U556" i="4"/>
  <c r="U447" i="4"/>
  <c r="V444" i="4" s="1"/>
  <c r="X433" i="4"/>
  <c r="X434" i="4" s="1"/>
  <c r="W540" i="4"/>
  <c r="V441" i="4"/>
  <c r="V551" i="4"/>
  <c r="V439" i="4"/>
  <c r="W436" i="4" s="1"/>
  <c r="V446" i="4" l="1"/>
  <c r="V447" i="4" s="1"/>
  <c r="W444" i="4" s="1"/>
  <c r="W446" i="4" s="1"/>
  <c r="X540" i="4"/>
  <c r="D433" i="4"/>
  <c r="W438" i="4"/>
  <c r="W439" i="4" s="1"/>
  <c r="X436" i="4" s="1"/>
  <c r="W556" i="4" l="1"/>
  <c r="W447" i="4"/>
  <c r="X444" i="4" s="1"/>
  <c r="X446" i="4" s="1"/>
  <c r="V449" i="4"/>
  <c r="V477" i="4" s="1"/>
  <c r="V472" i="4" s="1"/>
  <c r="V556" i="4"/>
  <c r="X438" i="4"/>
  <c r="W441" i="4"/>
  <c r="W449" i="4" s="1"/>
  <c r="W551" i="4"/>
  <c r="X556" i="4" l="1"/>
  <c r="X447" i="4"/>
  <c r="X439" i="4"/>
  <c r="D438" i="4"/>
  <c r="D455" i="4" s="1"/>
  <c r="D456" i="4" s="1"/>
  <c r="X441" i="4"/>
  <c r="X449" i="4" s="1"/>
  <c r="X551" i="4"/>
  <c r="W477" i="4"/>
  <c r="D457" i="4" l="1"/>
  <c r="D458" i="4"/>
  <c r="D463" i="4"/>
  <c r="W472" i="4"/>
  <c r="X477" i="4"/>
  <c r="D477" i="4" s="1"/>
  <c r="D449" i="4"/>
  <c r="D465" i="4" l="1"/>
  <c r="X472" i="4"/>
  <c r="D472" i="4" s="1"/>
  <c r="D466" i="4" s="1"/>
  <c r="D467" i="4" l="1"/>
  <c r="D469" i="4" l="1"/>
  <c r="D470" i="4" l="1"/>
  <c r="D473" i="4" s="1"/>
  <c r="D478" i="4" s="1"/>
  <c r="D491" i="4"/>
  <c r="V478" i="4" l="1"/>
  <c r="V491" i="4" s="1"/>
  <c r="W478" i="4"/>
  <c r="W491" i="4" s="1"/>
  <c r="U478" i="4"/>
  <c r="U491" i="4" s="1"/>
  <c r="S478" i="4"/>
  <c r="S491" i="4" s="1"/>
  <c r="Q478" i="4"/>
  <c r="Q491" i="4" s="1"/>
  <c r="O478" i="4"/>
  <c r="O491" i="4" s="1"/>
  <c r="X478" i="4"/>
  <c r="X491" i="4" s="1"/>
  <c r="T478" i="4"/>
  <c r="T491" i="4" s="1"/>
  <c r="R478" i="4"/>
  <c r="R491" i="4" s="1"/>
  <c r="P478" i="4"/>
  <c r="P491" i="4" s="1"/>
  <c r="D475" i="4"/>
  <c r="O486" i="4" s="1"/>
  <c r="D474" i="4"/>
  <c r="O481" i="4" s="1"/>
  <c r="O494" i="4"/>
  <c r="O482" i="4" l="1"/>
  <c r="O495" i="4"/>
  <c r="O541" i="4" l="1"/>
  <c r="E157" i="10" s="1"/>
  <c r="O483" i="4"/>
  <c r="P480" i="4" s="1"/>
  <c r="P482" i="4" s="1"/>
  <c r="O487" i="4"/>
  <c r="O488" i="4" s="1"/>
  <c r="P485" i="4" s="1"/>
  <c r="O557" i="4"/>
  <c r="E194" i="10" s="1"/>
  <c r="O496" i="4"/>
  <c r="P493" i="4" s="1"/>
  <c r="P495" i="4" s="1"/>
  <c r="O552" i="4" l="1"/>
  <c r="E189" i="10" s="1"/>
  <c r="O490" i="4"/>
  <c r="O498" i="4" s="1"/>
  <c r="O512" i="4" s="1"/>
  <c r="P487" i="4"/>
  <c r="P541" i="4"/>
  <c r="F157" i="10" s="1"/>
  <c r="P483" i="4"/>
  <c r="Q480" i="4" s="1"/>
  <c r="Q482" i="4" s="1"/>
  <c r="P557" i="4"/>
  <c r="F194" i="10" s="1"/>
  <c r="P496" i="4"/>
  <c r="Q493" i="4" s="1"/>
  <c r="Q495" i="4" s="1"/>
  <c r="P490" i="4" l="1"/>
  <c r="P498" i="4" s="1"/>
  <c r="P512" i="4" s="1"/>
  <c r="P552" i="4"/>
  <c r="F189" i="10" s="1"/>
  <c r="P488" i="4"/>
  <c r="Q485" i="4" s="1"/>
  <c r="Q487" i="4" s="1"/>
  <c r="Q490" i="4" s="1"/>
  <c r="Q498" i="4" s="1"/>
  <c r="Q512" i="4" s="1"/>
  <c r="Q541" i="4"/>
  <c r="G157" i="10" s="1"/>
  <c r="Q483" i="4"/>
  <c r="R480" i="4" s="1"/>
  <c r="Q496" i="4"/>
  <c r="R493" i="4" s="1"/>
  <c r="Q557" i="4"/>
  <c r="G194" i="10" s="1"/>
  <c r="Q552" i="4" l="1"/>
  <c r="G189" i="10" s="1"/>
  <c r="Q488" i="4"/>
  <c r="R485" i="4" s="1"/>
  <c r="R482" i="4"/>
  <c r="R483" i="4" s="1"/>
  <c r="S480" i="4" s="1"/>
  <c r="R495" i="4"/>
  <c r="R496" i="4" s="1"/>
  <c r="S493" i="4" s="1"/>
  <c r="S495" i="4" s="1"/>
  <c r="S496" i="4" l="1"/>
  <c r="T493" i="4" s="1"/>
  <c r="T495" i="4" s="1"/>
  <c r="T496" i="4" s="1"/>
  <c r="U493" i="4" s="1"/>
  <c r="S557" i="4"/>
  <c r="I194" i="10" s="1"/>
  <c r="R541" i="4"/>
  <c r="H157" i="10" s="1"/>
  <c r="S482" i="4"/>
  <c r="S483" i="4" s="1"/>
  <c r="T480" i="4" s="1"/>
  <c r="R487" i="4"/>
  <c r="R490" i="4" s="1"/>
  <c r="R498" i="4" s="1"/>
  <c r="R512" i="4" s="1"/>
  <c r="R557" i="4"/>
  <c r="H194" i="10" s="1"/>
  <c r="S541" i="4" l="1"/>
  <c r="I157" i="10" s="1"/>
  <c r="K157" i="10" s="1"/>
  <c r="D170" i="10" s="1"/>
  <c r="R488" i="4"/>
  <c r="S485" i="4" s="1"/>
  <c r="R552" i="4"/>
  <c r="H189" i="10" s="1"/>
  <c r="T482" i="4"/>
  <c r="K194" i="10"/>
  <c r="D211" i="10" s="1"/>
  <c r="T557" i="4"/>
  <c r="U495" i="4"/>
  <c r="U496" i="4" s="1"/>
  <c r="V493" i="4" s="1"/>
  <c r="V495" i="4" s="1"/>
  <c r="S487" i="4" l="1"/>
  <c r="S488" i="4" s="1"/>
  <c r="T485" i="4" s="1"/>
  <c r="T541" i="4"/>
  <c r="T483" i="4"/>
  <c r="U480" i="4" s="1"/>
  <c r="U482" i="4" s="1"/>
  <c r="U557" i="4"/>
  <c r="V557" i="4"/>
  <c r="V496" i="4"/>
  <c r="W493" i="4" s="1"/>
  <c r="W495" i="4" s="1"/>
  <c r="T487" i="4" l="1"/>
  <c r="T488" i="4" s="1"/>
  <c r="U485" i="4" s="1"/>
  <c r="S490" i="4"/>
  <c r="S498" i="4" s="1"/>
  <c r="S512" i="4" s="1"/>
  <c r="S552" i="4"/>
  <c r="I189" i="10" s="1"/>
  <c r="K189" i="10" s="1"/>
  <c r="D206" i="10" s="1"/>
  <c r="U483" i="4"/>
  <c r="V480" i="4" s="1"/>
  <c r="V482" i="4" s="1"/>
  <c r="U541" i="4"/>
  <c r="W496" i="4"/>
  <c r="X493" i="4" s="1"/>
  <c r="X495" i="4" s="1"/>
  <c r="W557" i="4"/>
  <c r="V541" i="4" l="1"/>
  <c r="V483" i="4"/>
  <c r="W480" i="4" s="1"/>
  <c r="W482" i="4" s="1"/>
  <c r="W483" i="4" s="1"/>
  <c r="X480" i="4" s="1"/>
  <c r="T552" i="4"/>
  <c r="T490" i="4"/>
  <c r="T498" i="4" s="1"/>
  <c r="T512" i="4" s="1"/>
  <c r="U487" i="4"/>
  <c r="U488" i="4" s="1"/>
  <c r="V485" i="4" s="1"/>
  <c r="V487" i="4" s="1"/>
  <c r="V488" i="4" s="1"/>
  <c r="W485" i="4" s="1"/>
  <c r="X496" i="4"/>
  <c r="X557" i="4"/>
  <c r="U552" i="4" l="1"/>
  <c r="U490" i="4"/>
  <c r="U498" i="4" s="1"/>
  <c r="U512" i="4" s="1"/>
  <c r="V490" i="4"/>
  <c r="V498" i="4" s="1"/>
  <c r="V552" i="4"/>
  <c r="W541" i="4"/>
  <c r="X482" i="4"/>
  <c r="W487" i="4"/>
  <c r="W490" i="4" s="1"/>
  <c r="W498" i="4" s="1"/>
  <c r="W512" i="4" s="1"/>
  <c r="X541" i="4" l="1"/>
  <c r="W488" i="4"/>
  <c r="X485" i="4" s="1"/>
  <c r="X487" i="4" s="1"/>
  <c r="X490" i="4" s="1"/>
  <c r="X498" i="4" s="1"/>
  <c r="W552" i="4"/>
  <c r="V512" i="4"/>
  <c r="D482" i="4"/>
  <c r="X483" i="4"/>
  <c r="D487" i="4" l="1"/>
  <c r="X552" i="4"/>
  <c r="X488" i="4"/>
  <c r="D498" i="4"/>
  <c r="D506" i="4" s="1"/>
  <c r="X512" i="4"/>
  <c r="D501" i="4" l="1"/>
  <c r="D510" i="4" l="1"/>
  <c r="D508" i="4" s="1"/>
  <c r="O529" i="4"/>
  <c r="D526" i="4"/>
  <c r="O516" i="4" l="1"/>
  <c r="D509" i="4"/>
  <c r="D513" i="4"/>
  <c r="O521" i="4" l="1"/>
  <c r="T513" i="4"/>
  <c r="T526" i="4" s="1"/>
  <c r="S513" i="4"/>
  <c r="S526" i="4" s="1"/>
  <c r="P513" i="4"/>
  <c r="P526" i="4" s="1"/>
  <c r="U513" i="4"/>
  <c r="U526" i="4" s="1"/>
  <c r="X513" i="4"/>
  <c r="X526" i="4" s="1"/>
  <c r="Q513" i="4"/>
  <c r="Q526" i="4" s="1"/>
  <c r="O513" i="4"/>
  <c r="W513" i="4"/>
  <c r="W526" i="4" s="1"/>
  <c r="V513" i="4"/>
  <c r="V526" i="4" s="1"/>
  <c r="R513" i="4"/>
  <c r="R526" i="4" s="1"/>
  <c r="O517" i="4" l="1"/>
  <c r="O526" i="4"/>
  <c r="O530" i="4" s="1"/>
  <c r="O522" i="4" l="1"/>
  <c r="O518" i="4"/>
  <c r="P515" i="4" s="1"/>
  <c r="O542" i="4"/>
  <c r="O531" i="4"/>
  <c r="P528" i="4" s="1"/>
  <c r="O558" i="4"/>
  <c r="E195" i="10" s="1"/>
  <c r="O543" i="4" l="1"/>
  <c r="O568" i="4" s="1"/>
  <c r="E158" i="10"/>
  <c r="P530" i="4"/>
  <c r="O523" i="4"/>
  <c r="P520" i="4" s="1"/>
  <c r="O553" i="4"/>
  <c r="O525" i="4"/>
  <c r="O533" i="4" s="1"/>
  <c r="P517" i="4"/>
  <c r="P518" i="4" s="1"/>
  <c r="Q515" i="4" s="1"/>
  <c r="O554" i="4" l="1"/>
  <c r="E190" i="10"/>
  <c r="E159" i="10"/>
  <c r="P558" i="4"/>
  <c r="F195" i="10" s="1"/>
  <c r="P531" i="4"/>
  <c r="Q528" i="4" s="1"/>
  <c r="P522" i="4"/>
  <c r="P525" i="4" s="1"/>
  <c r="P533" i="4" s="1"/>
  <c r="P542" i="4"/>
  <c r="Q517" i="4"/>
  <c r="E160" i="10" l="1"/>
  <c r="E191" i="10"/>
  <c r="O559" i="4"/>
  <c r="P543" i="4"/>
  <c r="P568" i="4" s="1"/>
  <c r="F158" i="10"/>
  <c r="Q530" i="4"/>
  <c r="P553" i="4"/>
  <c r="P523" i="4"/>
  <c r="Q520" i="4" s="1"/>
  <c r="Q542" i="4"/>
  <c r="Q518" i="4"/>
  <c r="R515" i="4" s="1"/>
  <c r="E196" i="10" l="1"/>
  <c r="O569" i="4"/>
  <c r="O570" i="4" s="1"/>
  <c r="O571" i="4" s="1"/>
  <c r="P554" i="4"/>
  <c r="F190" i="10"/>
  <c r="F159" i="10"/>
  <c r="Q543" i="4"/>
  <c r="Q568" i="4" s="1"/>
  <c r="G158" i="10"/>
  <c r="G159" i="10" s="1"/>
  <c r="Q558" i="4"/>
  <c r="G195" i="10" s="1"/>
  <c r="Q531" i="4"/>
  <c r="R528" i="4" s="1"/>
  <c r="Q522" i="4"/>
  <c r="Q523" i="4" s="1"/>
  <c r="R520" i="4" s="1"/>
  <c r="R517" i="4"/>
  <c r="E197" i="10" l="1"/>
  <c r="G160" i="10"/>
  <c r="F160" i="10"/>
  <c r="F191" i="10"/>
  <c r="P559" i="4"/>
  <c r="R530" i="4"/>
  <c r="R542" i="4"/>
  <c r="R518" i="4"/>
  <c r="S515" i="4" s="1"/>
  <c r="S517" i="4" s="1"/>
  <c r="S518" i="4" s="1"/>
  <c r="T515" i="4" s="1"/>
  <c r="Q525" i="4"/>
  <c r="Q533" i="4" s="1"/>
  <c r="Q553" i="4"/>
  <c r="R522" i="4"/>
  <c r="R523" i="4" s="1"/>
  <c r="S520" i="4" s="1"/>
  <c r="F196" i="10" l="1"/>
  <c r="P569" i="4"/>
  <c r="P570" i="4" s="1"/>
  <c r="P571" i="4" s="1"/>
  <c r="Q554" i="4"/>
  <c r="G190" i="10"/>
  <c r="R543" i="4"/>
  <c r="R568" i="4" s="1"/>
  <c r="H158" i="10"/>
  <c r="R558" i="4"/>
  <c r="H195" i="10" s="1"/>
  <c r="R531" i="4"/>
  <c r="S528" i="4" s="1"/>
  <c r="S542" i="4"/>
  <c r="S522" i="4"/>
  <c r="R553" i="4"/>
  <c r="R525" i="4"/>
  <c r="R533" i="4" s="1"/>
  <c r="T517" i="4"/>
  <c r="S525" i="4" l="1"/>
  <c r="S553" i="4"/>
  <c r="F197" i="10"/>
  <c r="G191" i="10"/>
  <c r="Q559" i="4"/>
  <c r="R554" i="4"/>
  <c r="H190" i="10"/>
  <c r="H159" i="10"/>
  <c r="S543" i="4"/>
  <c r="S568" i="4" s="1"/>
  <c r="I158" i="10"/>
  <c r="S530" i="4"/>
  <c r="S531" i="4" s="1"/>
  <c r="T528" i="4" s="1"/>
  <c r="S523" i="4"/>
  <c r="T520" i="4" s="1"/>
  <c r="T542" i="4"/>
  <c r="T543" i="4" s="1"/>
  <c r="T568" i="4" s="1"/>
  <c r="T518" i="4"/>
  <c r="U515" i="4" s="1"/>
  <c r="H191" i="10" l="1"/>
  <c r="R559" i="4"/>
  <c r="H160" i="10"/>
  <c r="G196" i="10"/>
  <c r="Q569" i="4"/>
  <c r="Q570" i="4" s="1"/>
  <c r="Q571" i="4" s="1"/>
  <c r="S554" i="4"/>
  <c r="I191" i="10" s="1"/>
  <c r="I190" i="10"/>
  <c r="K190" i="10" s="1"/>
  <c r="D207" i="10" s="1"/>
  <c r="D208" i="10" s="1"/>
  <c r="I159" i="10"/>
  <c r="I160" i="10" s="1"/>
  <c r="K158" i="10"/>
  <c r="T530" i="4"/>
  <c r="S533" i="4"/>
  <c r="S558" i="4"/>
  <c r="U517" i="4"/>
  <c r="T522" i="4"/>
  <c r="T523" i="4" s="1"/>
  <c r="U520" i="4" s="1"/>
  <c r="K159" i="10" l="1"/>
  <c r="D171" i="10"/>
  <c r="D172" i="10" s="1"/>
  <c r="K191" i="10"/>
  <c r="R569" i="4"/>
  <c r="R570" i="4" s="1"/>
  <c r="R571" i="4" s="1"/>
  <c r="H196" i="10"/>
  <c r="H197" i="10" s="1"/>
  <c r="G197" i="10"/>
  <c r="S559" i="4"/>
  <c r="I195" i="10"/>
  <c r="K195" i="10" s="1"/>
  <c r="D212" i="10" s="1"/>
  <c r="D213" i="10" s="1"/>
  <c r="T558" i="4"/>
  <c r="T531" i="4"/>
  <c r="U528" i="4" s="1"/>
  <c r="U542" i="4"/>
  <c r="U543" i="4" s="1"/>
  <c r="U568" i="4" s="1"/>
  <c r="U518" i="4"/>
  <c r="V515" i="4" s="1"/>
  <c r="V517" i="4" s="1"/>
  <c r="T525" i="4"/>
  <c r="T533" i="4" s="1"/>
  <c r="T553" i="4"/>
  <c r="T554" i="4" s="1"/>
  <c r="U522" i="4"/>
  <c r="U523" i="4" s="1"/>
  <c r="V520" i="4" s="1"/>
  <c r="I196" i="10" l="1"/>
  <c r="S569" i="4"/>
  <c r="S570" i="4" s="1"/>
  <c r="S571" i="4" s="1"/>
  <c r="T559" i="4"/>
  <c r="T569" i="4" s="1"/>
  <c r="T570" i="4" s="1"/>
  <c r="T571" i="4" s="1"/>
  <c r="U530" i="4"/>
  <c r="V522" i="4"/>
  <c r="V518" i="4"/>
  <c r="W515" i="4" s="1"/>
  <c r="W517" i="4" s="1"/>
  <c r="V542" i="4"/>
  <c r="V543" i="4" s="1"/>
  <c r="U525" i="4"/>
  <c r="U553" i="4"/>
  <c r="U554" i="4" s="1"/>
  <c r="K196" i="10" l="1"/>
  <c r="I197" i="10"/>
  <c r="U533" i="4"/>
  <c r="U558" i="4"/>
  <c r="U559" i="4" s="1"/>
  <c r="U569" i="4" s="1"/>
  <c r="U570" i="4" s="1"/>
  <c r="U571" i="4" s="1"/>
  <c r="U531" i="4"/>
  <c r="V528" i="4" s="1"/>
  <c r="V530" i="4" s="1"/>
  <c r="V523" i="4"/>
  <c r="W520" i="4" s="1"/>
  <c r="W522" i="4" s="1"/>
  <c r="V553" i="4"/>
  <c r="V554" i="4" s="1"/>
  <c r="V525" i="4"/>
  <c r="W518" i="4"/>
  <c r="X515" i="4" s="1"/>
  <c r="X517" i="4" s="1"/>
  <c r="X518" i="4" s="1"/>
  <c r="W542" i="4"/>
  <c r="W543" i="4" s="1"/>
  <c r="W568" i="4" s="1"/>
  <c r="V568" i="4"/>
  <c r="V533" i="4" l="1"/>
  <c r="V558" i="4"/>
  <c r="V559" i="4" s="1"/>
  <c r="V569" i="4" s="1"/>
  <c r="V570" i="4" s="1"/>
  <c r="V571" i="4" s="1"/>
  <c r="V531" i="4"/>
  <c r="W528" i="4" s="1"/>
  <c r="W530" i="4" s="1"/>
  <c r="W525" i="4"/>
  <c r="W523" i="4"/>
  <c r="X520" i="4" s="1"/>
  <c r="X522" i="4" s="1"/>
  <c r="X523" i="4" s="1"/>
  <c r="W553" i="4"/>
  <c r="W554" i="4" s="1"/>
  <c r="D517" i="4"/>
  <c r="X542" i="4"/>
  <c r="W533" i="4" l="1"/>
  <c r="W558" i="4"/>
  <c r="W559" i="4" s="1"/>
  <c r="W569" i="4" s="1"/>
  <c r="W570" i="4" s="1"/>
  <c r="W571" i="4" s="1"/>
  <c r="W531" i="4"/>
  <c r="X528" i="4" s="1"/>
  <c r="X530" i="4" s="1"/>
  <c r="D577" i="4"/>
  <c r="D546" i="4"/>
  <c r="X543" i="4"/>
  <c r="D522" i="4"/>
  <c r="X525" i="4"/>
  <c r="X553" i="4"/>
  <c r="D113" i="2" l="1"/>
  <c r="E163" i="10"/>
  <c r="X558" i="4"/>
  <c r="X531" i="4"/>
  <c r="X533" i="4"/>
  <c r="D533" i="4" s="1"/>
  <c r="D545" i="4"/>
  <c r="X568" i="4"/>
  <c r="D562" i="4"/>
  <c r="D578" i="4"/>
  <c r="X554" i="4"/>
  <c r="D112" i="2" l="1"/>
  <c r="E162" i="10"/>
  <c r="D579" i="4"/>
  <c r="D580" i="4" s="1"/>
  <c r="D582" i="4" s="1"/>
  <c r="D565" i="4"/>
  <c r="X559" i="4"/>
  <c r="D561" i="4"/>
  <c r="D118" i="2" l="1"/>
  <c r="E201" i="10"/>
  <c r="D116" i="2"/>
  <c r="E200" i="10"/>
  <c r="D564" i="4"/>
  <c r="X569" i="4"/>
  <c r="X570" i="4" s="1"/>
  <c r="X571" i="4" s="1"/>
  <c r="D115" i="2" l="1"/>
  <c r="E199" i="10"/>
  <c r="D571" i="4"/>
  <c r="J202" i="4" l="1"/>
  <c r="J213" i="4" s="1"/>
  <c r="N199" i="4"/>
  <c r="N202" i="4" l="1"/>
  <c r="N213" i="4" s="1"/>
  <c r="O199" i="4"/>
  <c r="P199" i="4" l="1"/>
  <c r="O202" i="4"/>
  <c r="O213" i="4" s="1"/>
  <c r="H65" i="10"/>
  <c r="H67" i="10" s="1"/>
  <c r="H77" i="10" s="1"/>
  <c r="I65" i="10" l="1"/>
  <c r="I67" i="10" s="1"/>
  <c r="I77" i="10" s="1"/>
  <c r="P202" i="4"/>
  <c r="P213" i="4" s="1"/>
  <c r="Q199" i="4"/>
  <c r="J65" i="10" l="1"/>
  <c r="J67" i="10" s="1"/>
  <c r="J77" i="10" s="1"/>
  <c r="R199" i="4"/>
  <c r="Q202" i="4"/>
  <c r="Q213" i="4" s="1"/>
  <c r="S199" i="4" l="1"/>
  <c r="K65" i="10"/>
  <c r="K67" i="10" s="1"/>
  <c r="K77" i="10" s="1"/>
  <c r="R202" i="4"/>
  <c r="R213" i="4" s="1"/>
  <c r="L65" i="10" l="1"/>
  <c r="L67" i="10" s="1"/>
  <c r="L77" i="10" s="1"/>
  <c r="T199" i="4"/>
  <c r="S202" i="4"/>
  <c r="S213" i="4" s="1"/>
  <c r="M65" i="10" l="1"/>
  <c r="M67" i="10" s="1"/>
  <c r="M77" i="10" s="1"/>
  <c r="U199" i="4"/>
  <c r="T202" i="4"/>
  <c r="T213" i="4" s="1"/>
  <c r="N65" i="10" l="1"/>
  <c r="N67" i="10" s="1"/>
  <c r="N77" i="10" s="1"/>
  <c r="V199" i="4"/>
  <c r="U202" i="4"/>
  <c r="U213" i="4" s="1"/>
  <c r="O65" i="10" l="1"/>
  <c r="O67" i="10" s="1"/>
  <c r="O77" i="10" s="1"/>
  <c r="W199" i="4"/>
  <c r="V202" i="4"/>
  <c r="V213" i="4" s="1"/>
  <c r="P65" i="10" l="1"/>
  <c r="P67" i="10" s="1"/>
  <c r="P77" i="10" s="1"/>
  <c r="X199" i="4"/>
  <c r="W202" i="4"/>
  <c r="W213" i="4" s="1"/>
  <c r="X202" i="4" l="1"/>
  <c r="X213" i="4" s="1"/>
  <c r="D213" i="4" s="1"/>
  <c r="C13" i="4" s="1"/>
  <c r="D12" i="2" s="1"/>
  <c r="Q65" i="10"/>
  <c r="Q67" i="10" s="1"/>
  <c r="Q77" i="10" s="1"/>
  <c r="F10" i="13" l="1"/>
  <c r="D10" i="11"/>
  <c r="D11" i="4" s="1"/>
  <c r="D12" i="12"/>
  <c r="E1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Aswath Damodaran</author>
  </authors>
  <commentList>
    <comment ref="C9" authorId="0" shapeId="0" xr:uid="{859F1BDF-C304-42AF-B30F-722FE5EAD3C2}">
      <text>
        <r>
          <rPr>
            <b/>
            <sz val="9"/>
            <color indexed="8"/>
            <rFont val="Geneva"/>
            <family val="2"/>
            <charset val="1"/>
          </rPr>
          <t>Aswath Damodaran:</t>
        </r>
        <r>
          <rPr>
            <sz val="9"/>
            <color indexed="8"/>
            <rFont val="Geneva"/>
            <family val="2"/>
            <charset val="1"/>
          </rPr>
          <t xml:space="preserve">
</t>
        </r>
        <r>
          <rPr>
            <sz val="9"/>
            <color indexed="8"/>
            <rFont val="Geneva"/>
            <family val="2"/>
            <charset val="1"/>
          </rPr>
          <t xml:space="preserve">ST: Short term (Treasury bill)
</t>
        </r>
        <r>
          <rPr>
            <sz val="9"/>
            <color indexed="8"/>
            <rFont val="Geneva"/>
            <family val="2"/>
            <charset val="1"/>
          </rPr>
          <t>LT: Long term (Treasury bond)</t>
        </r>
      </text>
    </comment>
    <comment ref="C10" authorId="0" shapeId="0" xr:uid="{CF01D082-7650-4EB5-B4DB-8A907516AF55}">
      <text>
        <r>
          <rPr>
            <b/>
            <sz val="9"/>
            <color indexed="8"/>
            <rFont val="Geneva"/>
            <family val="2"/>
            <charset val="1"/>
          </rPr>
          <t>Aswath Damodaran:</t>
        </r>
        <r>
          <rPr>
            <sz val="9"/>
            <color indexed="8"/>
            <rFont val="Geneva"/>
            <family val="2"/>
            <charset val="1"/>
          </rPr>
          <t xml:space="preserve">
</t>
        </r>
        <r>
          <rPr>
            <sz val="9"/>
            <color indexed="8"/>
            <rFont val="Geneva"/>
            <family val="2"/>
            <charset val="1"/>
          </rPr>
          <t>The risk premium will be computed from this year to the current year.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<sst xmlns="http://schemas.openxmlformats.org/spreadsheetml/2006/main" count="2450" uniqueCount="915">
  <si>
    <t xml:space="preserve">Financial Model for Acquisition Analysis </t>
  </si>
  <si>
    <t>Conventions:</t>
  </si>
  <si>
    <t>Input</t>
  </si>
  <si>
    <t>Reference to another tab</t>
  </si>
  <si>
    <t>Change in formula in the same row</t>
  </si>
  <si>
    <t>Formula</t>
  </si>
  <si>
    <t>Provisional input</t>
  </si>
  <si>
    <t>Check</t>
  </si>
  <si>
    <t>Comments</t>
  </si>
  <si>
    <t>Last Document Update:</t>
  </si>
  <si>
    <t>.</t>
  </si>
  <si>
    <t xml:space="preserve">Macros </t>
  </si>
  <si>
    <t>Units</t>
  </si>
  <si>
    <t>Macros US</t>
  </si>
  <si>
    <t>%</t>
  </si>
  <si>
    <t>CPI, EOP</t>
  </si>
  <si>
    <t>PPI, AOP</t>
  </si>
  <si>
    <t>Federal Funds Target Rate, EOP</t>
  </si>
  <si>
    <t>GDP Growth, Annual Var.</t>
  </si>
  <si>
    <t>SOFR, EOP</t>
  </si>
  <si>
    <t>10-Year Bond Yield, EOP</t>
  </si>
  <si>
    <t>Tax</t>
  </si>
  <si>
    <t>CIT</t>
  </si>
  <si>
    <t>Source: Focus Economics - United States: June 2024</t>
  </si>
  <si>
    <t>x</t>
  </si>
  <si>
    <t>Macros</t>
  </si>
  <si>
    <t>Dates</t>
  </si>
  <si>
    <t>BOP</t>
  </si>
  <si>
    <t>EOP</t>
  </si>
  <si>
    <t>Projection counter</t>
  </si>
  <si>
    <t>P&amp;L</t>
  </si>
  <si>
    <t>Costs</t>
  </si>
  <si>
    <t>SG&amp;A</t>
  </si>
  <si>
    <t>EBITDA</t>
  </si>
  <si>
    <t>D&amp;A</t>
  </si>
  <si>
    <t>EBIT</t>
  </si>
  <si>
    <t>Other non-operating income and expeneses</t>
  </si>
  <si>
    <t>Earnings before taxes</t>
  </si>
  <si>
    <t>Taxes</t>
  </si>
  <si>
    <t>Net profit</t>
  </si>
  <si>
    <t>Balance sheet</t>
  </si>
  <si>
    <t>Cash</t>
  </si>
  <si>
    <t>Accounts receivable</t>
  </si>
  <si>
    <t>PP&amp;E</t>
  </si>
  <si>
    <t>Assets</t>
  </si>
  <si>
    <t>Accounts payable</t>
  </si>
  <si>
    <t>Liabilities</t>
  </si>
  <si>
    <t>Common equity</t>
  </si>
  <si>
    <t>Accumulated profits</t>
  </si>
  <si>
    <t>Equity</t>
  </si>
  <si>
    <t>Accounting check</t>
  </si>
  <si>
    <t>Operating free cash flow</t>
  </si>
  <si>
    <t>Investment in working capital</t>
  </si>
  <si>
    <t>Operational taxes</t>
  </si>
  <si>
    <t>CAPEX</t>
  </si>
  <si>
    <t>Financial free cash flow</t>
  </si>
  <si>
    <t>Other non-operating income and expenses</t>
  </si>
  <si>
    <t>Cash variation</t>
  </si>
  <si>
    <t>Dividends / Capitalizations</t>
  </si>
  <si>
    <t>Net free cash flow</t>
  </si>
  <si>
    <t>Cash BOP</t>
  </si>
  <si>
    <t>Cash EOP</t>
  </si>
  <si>
    <t>Gross Margin</t>
  </si>
  <si>
    <t>Revenue</t>
  </si>
  <si>
    <t>Gross Profit</t>
  </si>
  <si>
    <t>EBITDA Margin</t>
  </si>
  <si>
    <t>Net Margin</t>
  </si>
  <si>
    <t>USD M</t>
  </si>
  <si>
    <t>Revenue Inputs</t>
  </si>
  <si>
    <t>Revenue Build-up</t>
  </si>
  <si>
    <t>% change</t>
  </si>
  <si>
    <t>Costs Inputs</t>
  </si>
  <si>
    <t>Costs Build-up</t>
  </si>
  <si>
    <t>% Gross Profit</t>
  </si>
  <si>
    <t>SG&amp;A Input</t>
  </si>
  <si>
    <t>SG&amp;A as % of revenue</t>
  </si>
  <si>
    <t>Capex Inputs</t>
  </si>
  <si>
    <t>Capex Build-up</t>
  </si>
  <si>
    <t>Capex as % of Revenue</t>
  </si>
  <si>
    <t>Capex</t>
  </si>
  <si>
    <t>D&amp;A Inputs</t>
  </si>
  <si>
    <t>D&amp;A Build-up</t>
  </si>
  <si>
    <t>Year D&amp;A - Initial PP&amp;E</t>
  </si>
  <si>
    <t>New Capex anual D&amp;A</t>
  </si>
  <si>
    <t>Existing PP&amp;E</t>
  </si>
  <si>
    <t>New Capex</t>
  </si>
  <si>
    <t>Gross PP&amp;E</t>
  </si>
  <si>
    <t>Acum. D&amp;A</t>
  </si>
  <si>
    <t>Net PP&amp;E</t>
  </si>
  <si>
    <t xml:space="preserve">PP&amp;E </t>
  </si>
  <si>
    <t>Working Capital Inputs</t>
  </si>
  <si>
    <t>Inventory</t>
  </si>
  <si>
    <t>Days of Revenue</t>
  </si>
  <si>
    <t>Working Capital Build-up</t>
  </si>
  <si>
    <t>Accounts receivables</t>
  </si>
  <si>
    <t>Working Capital Assets</t>
  </si>
  <si>
    <t>Days of costs and SG&amp;A</t>
  </si>
  <si>
    <t>Working Capital Liabilities</t>
  </si>
  <si>
    <t>Net Working Capital</t>
  </si>
  <si>
    <t>Investment in Net Working Capital</t>
  </si>
  <si>
    <t>Check:</t>
  </si>
  <si>
    <t>DCF: FCFF Valuation Inputs</t>
  </si>
  <si>
    <t>Growth Opportunities</t>
  </si>
  <si>
    <t>WACC</t>
  </si>
  <si>
    <t>Operating Free Cash Flow</t>
  </si>
  <si>
    <t>NPV Operating Free Cash Flow @ WACC</t>
  </si>
  <si>
    <t>Terminal Value</t>
  </si>
  <si>
    <t>NPV Terminal Value @ WACC</t>
  </si>
  <si>
    <t>Enterprise Value</t>
  </si>
  <si>
    <t>(+) Cash</t>
  </si>
  <si>
    <t>Equity Value</t>
  </si>
  <si>
    <t>EV/EBITDA</t>
  </si>
  <si>
    <t>Equity Value / Book Value</t>
  </si>
  <si>
    <t>0.0x</t>
  </si>
  <si>
    <t>DCF: FCFE Valuation Inputs</t>
  </si>
  <si>
    <t>Ke</t>
  </si>
  <si>
    <t>Free Cash Flow to Equity (FCFE)</t>
  </si>
  <si>
    <t>NPV FCFE @ Ke</t>
  </si>
  <si>
    <t>NPV Terminal Value @ Ke</t>
  </si>
  <si>
    <t>Comparable Company Analysis</t>
  </si>
  <si>
    <t>Market Data</t>
  </si>
  <si>
    <t>Financial Data</t>
  </si>
  <si>
    <t>Valuation</t>
  </si>
  <si>
    <t>Ticker</t>
  </si>
  <si>
    <t>Price</t>
  </si>
  <si>
    <t>Market Cap</t>
  </si>
  <si>
    <t>EV</t>
  </si>
  <si>
    <t xml:space="preserve">Sales </t>
  </si>
  <si>
    <t>EBITDA margin</t>
  </si>
  <si>
    <t>EV/Sales</t>
  </si>
  <si>
    <t>Company Name</t>
  </si>
  <si>
    <t>(Ticker)</t>
  </si>
  <si>
    <t>(USD$/share)</t>
  </si>
  <si>
    <t>(%)</t>
  </si>
  <si>
    <t>(USD M)</t>
  </si>
  <si>
    <t>Mean</t>
  </si>
  <si>
    <t>Median</t>
  </si>
  <si>
    <t>Football Field Template</t>
  </si>
  <si>
    <t>Name</t>
  </si>
  <si>
    <t>Min</t>
  </si>
  <si>
    <t>25th</t>
  </si>
  <si>
    <t>75th</t>
  </si>
  <si>
    <t>Max</t>
  </si>
  <si>
    <t>Min point</t>
  </si>
  <si>
    <t>Median point</t>
  </si>
  <si>
    <t>Max point</t>
  </si>
  <si>
    <t>Bottom</t>
  </si>
  <si>
    <t>Top</t>
  </si>
  <si>
    <t>Single shift / double shift</t>
  </si>
  <si>
    <t>KM per week</t>
  </si>
  <si>
    <t>Base case</t>
  </si>
  <si>
    <t>Valuation Output</t>
  </si>
  <si>
    <t>Distributions calculations</t>
  </si>
  <si>
    <t>Dividends allowed</t>
  </si>
  <si>
    <t>Flag</t>
  </si>
  <si>
    <t>Dividends</t>
  </si>
  <si>
    <t>Cash available for equity reductions</t>
  </si>
  <si>
    <t>New injections as equity</t>
  </si>
  <si>
    <t>Equity reductions</t>
  </si>
  <si>
    <t>Equity injections</t>
  </si>
  <si>
    <t>Final cash</t>
  </si>
  <si>
    <t>Equity reduction</t>
  </si>
  <si>
    <t>Exit Value</t>
  </si>
  <si>
    <t>Exit Multiple</t>
  </si>
  <si>
    <t>Exit Year</t>
  </si>
  <si>
    <t>Year</t>
  </si>
  <si>
    <t>Levered IRR</t>
  </si>
  <si>
    <t>Levered MOIC</t>
  </si>
  <si>
    <t>Tax Rate</t>
  </si>
  <si>
    <t>Rf</t>
  </si>
  <si>
    <t>Bu</t>
  </si>
  <si>
    <t>Bl</t>
  </si>
  <si>
    <t>D/E</t>
  </si>
  <si>
    <t>D/(D+E)</t>
  </si>
  <si>
    <t xml:space="preserve">Ke </t>
  </si>
  <si>
    <t xml:space="preserve">Kd </t>
  </si>
  <si>
    <t xml:space="preserve">Kd post-tax </t>
  </si>
  <si>
    <t>Rm</t>
  </si>
  <si>
    <t>WACC &amp; KE</t>
  </si>
  <si>
    <t xml:space="preserve">CIT </t>
  </si>
  <si>
    <t>CIT rate</t>
  </si>
  <si>
    <t>Days of Cost</t>
  </si>
  <si>
    <t>Negative cash check</t>
  </si>
  <si>
    <t xml:space="preserve">Check </t>
  </si>
  <si>
    <t>Common Equity</t>
  </si>
  <si>
    <t>Common equity BOP</t>
  </si>
  <si>
    <t>Increase</t>
  </si>
  <si>
    <t>Decrease</t>
  </si>
  <si>
    <t>Common equity EOP</t>
  </si>
  <si>
    <t>Subordinated debt payments</t>
  </si>
  <si>
    <t>Free cashflow available for subordinated debt interests</t>
  </si>
  <si>
    <t>Subordinated debt disbursements</t>
  </si>
  <si>
    <t>Cash before dividends and subordinated debt</t>
  </si>
  <si>
    <t>Interest Subordinated Debt</t>
  </si>
  <si>
    <t>Subordinated Debt</t>
  </si>
  <si>
    <t>Variations in Subordinated debt</t>
  </si>
  <si>
    <t>Subordinated debt interests AP BOP</t>
  </si>
  <si>
    <t>Subordinated debt interests AP EOP</t>
  </si>
  <si>
    <t>Subordinated debt</t>
  </si>
  <si>
    <t>Subordinated debt BOP</t>
  </si>
  <si>
    <t>Subordinated debt amortization</t>
  </si>
  <si>
    <t>Subordinated debt EOP</t>
  </si>
  <si>
    <t>Subordinated debt interest rate</t>
  </si>
  <si>
    <t>Subordinated debt interests</t>
  </si>
  <si>
    <t>Amortization subordinated debt</t>
  </si>
  <si>
    <t>Cash before dividends</t>
  </si>
  <si>
    <t>New injections as subordinate debt</t>
  </si>
  <si>
    <t>Financing Needs</t>
  </si>
  <si>
    <t>Subordinate debt injections</t>
  </si>
  <si>
    <t>D&amp;A Old PP&amp;E</t>
  </si>
  <si>
    <t>D&amp;A New Capex</t>
  </si>
  <si>
    <t>Cash Flow Check</t>
  </si>
  <si>
    <t>Revene annual variation</t>
  </si>
  <si>
    <t>New Capex as % of revenue</t>
  </si>
  <si>
    <t>Master Check</t>
  </si>
  <si>
    <t>Working Capital</t>
  </si>
  <si>
    <t>Financing - Equity</t>
  </si>
  <si>
    <t>Equity injections as subordinate debt</t>
  </si>
  <si>
    <t>Equity injections as pure equity</t>
  </si>
  <si>
    <t>KPIs</t>
  </si>
  <si>
    <t>Avg. EBITDA margin</t>
  </si>
  <si>
    <t>Avg. Net margin</t>
  </si>
  <si>
    <t>Subordinated debt interest</t>
  </si>
  <si>
    <t>Dividends restriction</t>
  </si>
  <si>
    <t>No dividend before</t>
  </si>
  <si>
    <t>Subdebt amortization allowed</t>
  </si>
  <si>
    <t>No Amortization before</t>
  </si>
  <si>
    <t>Damodaran</t>
  </si>
  <si>
    <t>Date updated:</t>
  </si>
  <si>
    <t>YouTube Video explaining estimation choices and process.</t>
  </si>
  <si>
    <t>Notes</t>
  </si>
  <si>
    <t>Created by:</t>
  </si>
  <si>
    <t>Aswath Damodaran, adamodar@stern.nyu.edu</t>
  </si>
  <si>
    <t>Pricing ratios (or multiples) can be used to price companies, with the end game of determining whether they are under or over priced.</t>
  </si>
  <si>
    <t>What is this data?</t>
  </si>
  <si>
    <t>US companies</t>
  </si>
  <si>
    <t>Home Page:</t>
  </si>
  <si>
    <t>http://www.damodaran.com</t>
  </si>
  <si>
    <t>Data website:</t>
  </si>
  <si>
    <t>https://pages.stern.nyu.edu/~adamodar/New_Home_Page/data.html</t>
  </si>
  <si>
    <t>Companies in each industry:</t>
  </si>
  <si>
    <t>https://pages.stern.nyu.edu/~adamodar/pc/datasets/indname.xls</t>
  </si>
  <si>
    <t>Variable definitions:</t>
  </si>
  <si>
    <t>https://pages.stern.nyu.edu/~adamodar/New_Home_Page/datafile/variable.htm</t>
  </si>
  <si>
    <t>Industry Name</t>
  </si>
  <si>
    <t>Number of firms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</si>
  <si>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</si>
  <si>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</si>
  <si>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</si>
  <si>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</si>
  <si>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</si>
  <si>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</si>
  <si>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</si>
  <si>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</si>
  <si>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</si>
  <si>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</si>
  <si>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</si>
  <si>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</si>
  <si>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</si>
  <si>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</si>
  <si>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</si>
  <si>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NA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</si>
  <si>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</si>
  <si>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</si>
  <si>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</si>
  <si>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</si>
  <si>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</si>
  <si>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</si>
  <si>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</si>
  <si>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</si>
  <si>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</si>
  <si>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</si>
  <si>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</si>
  <si>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</si>
  <si>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</si>
  <si>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</si>
  <si>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</si>
  <si>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</si>
  <si>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</si>
  <si>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</si>
  <si>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</si>
  <si>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</si>
  <si>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</si>
  <si>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</si>
  <si>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</si>
  <si>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</si>
  <si>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</si>
  <si>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</si>
  <si>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</si>
  <si>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</si>
  <si>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</si>
  <si>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</si>
  <si>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</si>
  <si>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</si>
  <si>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</si>
  <si>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</si>
  <si>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</si>
  <si>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</si>
  <si>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</si>
  <si>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</si>
  <si>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</si>
  <si>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</si>
  <si>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</si>
  <si>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</si>
  <si>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</si>
  <si>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</si>
  <si>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</si>
  <si>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</si>
  <si>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</si>
  <si>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</si>
  <si>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</si>
  <si>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</si>
  <si>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</si>
  <si>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</si>
  <si>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</si>
  <si>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</si>
  <si>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</si>
  <si>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</si>
  <si>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</si>
  <si>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</si>
  <si>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</si>
  <si>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</si>
  <si>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</si>
  <si>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</si>
  <si>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</si>
  <si>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</si>
  <si>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</si>
  <si>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</si>
  <si>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</si>
  <si>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</si>
  <si>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</si>
  <si>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</si>
  <si>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</si>
  <si>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</si>
  <si>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</si>
  <si>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</si>
  <si>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</si>
  <si>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</si>
  <si>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</si>
  <si>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</si>
  <si>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</si>
  <si>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</si>
  <si>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</si>
  <si>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Enterprise value multiples</t>
  </si>
  <si>
    <t>Only positive EBITDA firms</t>
  </si>
  <si>
    <t>All firms</t>
  </si>
  <si>
    <t>EV/EBITDAR&amp;D</t>
  </si>
  <si>
    <t>EV/EBIT</t>
  </si>
  <si>
    <t>EV/EBIT (1-t)</t>
  </si>
  <si>
    <t>EV/EBITDAR&amp;D2</t>
  </si>
  <si>
    <t>EV/EBITDA3</t>
  </si>
  <si>
    <t>EV/EBIT4</t>
  </si>
  <si>
    <t>EV/EBIT (1-t)5</t>
  </si>
  <si>
    <t>Disbursement date</t>
  </si>
  <si>
    <t>Date</t>
  </si>
  <si>
    <t>Debt amount</t>
  </si>
  <si>
    <t>Target DSCR for debt sizing</t>
  </si>
  <si>
    <t>Spread</t>
  </si>
  <si>
    <t>% annual</t>
  </si>
  <si>
    <t>Upfront fee</t>
  </si>
  <si>
    <t>% of EV</t>
  </si>
  <si>
    <t>Transaction Inputs</t>
  </si>
  <si>
    <t>DCF: FCFF Valuation</t>
  </si>
  <si>
    <t>DCF: FCFE Valuation</t>
  </si>
  <si>
    <t>Average</t>
  </si>
  <si>
    <t>DCF FCFF Valuation</t>
  </si>
  <si>
    <t>DCF FCFE Valuation</t>
  </si>
  <si>
    <t>Purchase EBITDA</t>
  </si>
  <si>
    <t>Entry Multiple</t>
  </si>
  <si>
    <t>Exit EBITDA Multiple</t>
  </si>
  <si>
    <t>Exit Year for Sensitivity Tables</t>
  </si>
  <si>
    <t>(-) Debt</t>
  </si>
  <si>
    <t>Exit</t>
  </si>
  <si>
    <t>Extit Inputs</t>
  </si>
  <si>
    <t>Gross Deal unlevered returns</t>
  </si>
  <si>
    <t>MoiC</t>
  </si>
  <si>
    <t>Gross Equity Cash Flow</t>
  </si>
  <si>
    <t>Disbursement</t>
  </si>
  <si>
    <t>Disbursements</t>
  </si>
  <si>
    <t>Amortization</t>
  </si>
  <si>
    <t>Free cashflow available for DS</t>
  </si>
  <si>
    <t>Amortizations</t>
  </si>
  <si>
    <t>Interests</t>
  </si>
  <si>
    <t>Interest rate</t>
  </si>
  <si>
    <t>Base Rate (SOFR)</t>
  </si>
  <si>
    <t>BPS</t>
  </si>
  <si>
    <t xml:space="preserve"> </t>
  </si>
  <si>
    <t>Summary</t>
  </si>
  <si>
    <t>Legal Fees</t>
  </si>
  <si>
    <t>Other Fees</t>
  </si>
  <si>
    <t>Debt Expenses</t>
  </si>
  <si>
    <t>Total Cost of Debt</t>
  </si>
  <si>
    <t>Flag of Active Debt</t>
  </si>
  <si>
    <t>Debt Term</t>
  </si>
  <si>
    <t>Years</t>
  </si>
  <si>
    <t>Actual Debt Service</t>
  </si>
  <si>
    <t>CFADS</t>
  </si>
  <si>
    <t>Actual DSCR</t>
  </si>
  <si>
    <t>CFADS / DSCR</t>
  </si>
  <si>
    <t>AVG. DSCR</t>
  </si>
  <si>
    <t>Actual AVG DSCR</t>
  </si>
  <si>
    <t>Debt/EBITDA</t>
  </si>
  <si>
    <t>Equity Injection required</t>
  </si>
  <si>
    <t>Pure Equity Injection</t>
  </si>
  <si>
    <t>Subordinated Debt Injection</t>
  </si>
  <si>
    <t>Deal Flag</t>
  </si>
  <si>
    <t>Additional equity injection</t>
  </si>
  <si>
    <t>Unlevered IRR</t>
  </si>
  <si>
    <t>Unlevered MoIC</t>
  </si>
  <si>
    <t>Source &amp; Uses</t>
  </si>
  <si>
    <t>Sources</t>
  </si>
  <si>
    <t>Total</t>
  </si>
  <si>
    <t>Uses</t>
  </si>
  <si>
    <t>Purchase Price</t>
  </si>
  <si>
    <t>OldCo Debt</t>
  </si>
  <si>
    <t>Amount</t>
  </si>
  <si>
    <t>Historical</t>
  </si>
  <si>
    <t>Transaction</t>
  </si>
  <si>
    <t>Adj (1)</t>
  </si>
  <si>
    <t>Adj (2)</t>
  </si>
  <si>
    <t>Equity (Source)</t>
  </si>
  <si>
    <t>Debt (Source)</t>
  </si>
  <si>
    <t>Equity (Use)</t>
  </si>
  <si>
    <t>Goodwill</t>
  </si>
  <si>
    <t>Adj (3)</t>
  </si>
  <si>
    <t>Adj (4)</t>
  </si>
  <si>
    <t>Adj (5)</t>
  </si>
  <si>
    <t>Fees (Use)</t>
  </si>
  <si>
    <t>Debt (Use)</t>
  </si>
  <si>
    <t>AP Subordinated debt interests</t>
  </si>
  <si>
    <t>Variations AP Subordinated debt interest</t>
  </si>
  <si>
    <t>Sub debt amortization</t>
  </si>
  <si>
    <t>Sub debt interest payment</t>
  </si>
  <si>
    <t>Master Check:</t>
  </si>
  <si>
    <t>Debt Repayment Check</t>
  </si>
  <si>
    <t>End Year</t>
  </si>
  <si>
    <t>Net Profit</t>
  </si>
  <si>
    <t>Interest</t>
  </si>
  <si>
    <t>Debt related expenses</t>
  </si>
  <si>
    <t>EBT</t>
  </si>
  <si>
    <t>Financials</t>
  </si>
  <si>
    <t>Balance Sheet</t>
  </si>
  <si>
    <t>Financial debt</t>
  </si>
  <si>
    <t>Other Assets</t>
  </si>
  <si>
    <t>Debt / EBITDA</t>
  </si>
  <si>
    <t>Cash Flow</t>
  </si>
  <si>
    <t>Variation in financial debt</t>
  </si>
  <si>
    <t>Variation in subordinated debt</t>
  </si>
  <si>
    <t>Net Cash Flow</t>
  </si>
  <si>
    <t>FCFF/EBITDA</t>
  </si>
  <si>
    <t>Investment</t>
  </si>
  <si>
    <t>Debt Profile</t>
  </si>
  <si>
    <t>Debt Service</t>
  </si>
  <si>
    <t>DSCR</t>
  </si>
  <si>
    <t>Debt Coverage Ratio</t>
  </si>
  <si>
    <t>Debt EOP</t>
  </si>
  <si>
    <t>Cash Flow to Firm</t>
  </si>
  <si>
    <t>Free Cash Flow to Firm</t>
  </si>
  <si>
    <t>Termination Value</t>
  </si>
  <si>
    <t>Growth Opportunities (g)</t>
  </si>
  <si>
    <t>Disscounted period</t>
  </si>
  <si>
    <t>#</t>
  </si>
  <si>
    <t>Disscount Rate (WACC)</t>
  </si>
  <si>
    <t>Cummulative Disscount Factor</t>
  </si>
  <si>
    <t>PV of Free Cash Flow to Firm</t>
  </si>
  <si>
    <t>PV of FCFF</t>
  </si>
  <si>
    <t>PV of Terminal Value</t>
  </si>
  <si>
    <t>(-) Long Term Debt BOP</t>
  </si>
  <si>
    <t>(+) Cash BOP</t>
  </si>
  <si>
    <t>(+) Long Term Debt BOP</t>
  </si>
  <si>
    <t>(-) Cash BOP</t>
  </si>
  <si>
    <t>Free Cash Flow to Firm Valuation</t>
  </si>
  <si>
    <t>Free Cash Flow to Equity Valuation</t>
  </si>
  <si>
    <t>Cash Flow to Equity</t>
  </si>
  <si>
    <t>Free Cash Flow to Equity</t>
  </si>
  <si>
    <t>PV of Free Cash Flow to Equity</t>
  </si>
  <si>
    <t>Disscount Rate (Ke)</t>
  </si>
  <si>
    <t>PV of FCFE</t>
  </si>
  <si>
    <t xml:space="preserve">(+) Long Term Debt </t>
  </si>
  <si>
    <t xml:space="preserve">(-) Cash </t>
  </si>
  <si>
    <t>FCFF</t>
  </si>
  <si>
    <t>Overview - Enterprise Value (in USD  millions)</t>
  </si>
  <si>
    <t>Ranges dispersion</t>
  </si>
  <si>
    <t xml:space="preserve">FCFE </t>
  </si>
  <si>
    <t>COMPS</t>
  </si>
  <si>
    <t>DCF: LBO Method inputs</t>
  </si>
  <si>
    <t>Target IRR</t>
  </si>
  <si>
    <t xml:space="preserve">DCF: LBO Method </t>
  </si>
  <si>
    <t>Deal Flag (Exit Inc.)</t>
  </si>
  <si>
    <t>NPV FCFE @ Target IRR</t>
  </si>
  <si>
    <t>LBO @25.0% IRR</t>
  </si>
  <si>
    <t>LBO @20.0% IRR</t>
  </si>
  <si>
    <t>LBO @15.0% IRR</t>
  </si>
  <si>
    <t>LBO Valuation</t>
  </si>
  <si>
    <t>LBO Sponsor Cash Flow</t>
  </si>
  <si>
    <t>PV of LBO Sponsor CF</t>
  </si>
  <si>
    <t>(+) Deal Debt</t>
  </si>
  <si>
    <t>Value Creation Plan</t>
  </si>
  <si>
    <t>Reduce waste, increase productivity, and streamline production.</t>
  </si>
  <si>
    <t>Renegotiate prices for raw materials</t>
  </si>
  <si>
    <t>Introduce automation, outsourcing, and increased cost oversight</t>
  </si>
  <si>
    <t>Increase prices.</t>
  </si>
  <si>
    <t>5) Inorganic Acquisitions</t>
  </si>
  <si>
    <t>% achieved</t>
  </si>
  <si>
    <t>Base (USD M)</t>
  </si>
  <si>
    <t>Selection</t>
  </si>
  <si>
    <t xml:space="preserve">Value Creation Plan Master Switch </t>
  </si>
  <si>
    <t># Aquisitions per year</t>
  </si>
  <si>
    <t>1) Lean Factory Implementation</t>
  </si>
  <si>
    <t>Total procurement implementation costs reduction</t>
  </si>
  <si>
    <t>Total Lean Factory implementation costs reduction</t>
  </si>
  <si>
    <t>Total SG&amp;A Expenses reduction</t>
  </si>
  <si>
    <t>Total Pricing analysis increase in revenue</t>
  </si>
  <si>
    <t xml:space="preserve">Lean Factory implementation switch </t>
  </si>
  <si>
    <t xml:space="preserve">Switch </t>
  </si>
  <si>
    <t>2) Procurement optimization</t>
  </si>
  <si>
    <t>Procurement optimization switch</t>
  </si>
  <si>
    <t>3) SG&amp;A optimization</t>
  </si>
  <si>
    <t>SG&amp;A optimization switch</t>
  </si>
  <si>
    <t>4) Pricing Analysis optimization</t>
  </si>
  <si>
    <t>Price analysis optimization switch</t>
  </si>
  <si>
    <t>Inorganic acquisitions switch</t>
  </si>
  <si>
    <t xml:space="preserve">Outstanding acquisitions </t>
  </si>
  <si>
    <t>Additional Revenue</t>
  </si>
  <si>
    <t xml:space="preserve">Additional Cost </t>
  </si>
  <si>
    <t xml:space="preserve">Additional SG&amp;A </t>
  </si>
  <si>
    <t>Additional EBITDA</t>
  </si>
  <si>
    <t>Additional EBITDA  margin</t>
  </si>
  <si>
    <t>Value per Acq</t>
  </si>
  <si>
    <t>Value Creation Plan P&amp;L (DELTA)</t>
  </si>
  <si>
    <t>P&amp;L - After Value Creation Plan</t>
  </si>
  <si>
    <t>P&amp;L - Before Value Creation Plan</t>
  </si>
  <si>
    <t>Value Creation Waterfall</t>
  </si>
  <si>
    <t>Value Added</t>
  </si>
  <si>
    <t>Resulting EBITDA</t>
  </si>
  <si>
    <t xml:space="preserve">EBITDA before value creation </t>
  </si>
  <si>
    <t xml:space="preserve">Net profit  before value creation </t>
  </si>
  <si>
    <t>Resulting Net profit</t>
  </si>
  <si>
    <t>Cost</t>
  </si>
  <si>
    <t>Value Creation Plan summary</t>
  </si>
  <si>
    <t>Inorganic Growth Assets</t>
  </si>
  <si>
    <t>% Difference</t>
  </si>
  <si>
    <t>Loan to Value (LTV)</t>
  </si>
  <si>
    <t>Scenario selection</t>
  </si>
  <si>
    <t>Base</t>
  </si>
  <si>
    <t>Upside</t>
  </si>
  <si>
    <t>Downside</t>
  </si>
  <si>
    <t>Inorganic Acquisitions</t>
  </si>
  <si>
    <t>Live Scenario</t>
  </si>
  <si>
    <t>Switch</t>
  </si>
  <si>
    <t>% of Achievement</t>
  </si>
  <si>
    <t>Switches</t>
  </si>
  <si>
    <t>Additional Revenue per Acquisition</t>
  </si>
  <si>
    <t>Additional Cost per Acquisition</t>
  </si>
  <si>
    <t>Additional SG&amp;A per Acquisition</t>
  </si>
  <si>
    <t>Additional EBITDA per Acquisition</t>
  </si>
  <si>
    <t>Capex per Acquisition</t>
  </si>
  <si>
    <t>Implicit EBITDA margin of Acq.</t>
  </si>
  <si>
    <t>Gross Unlev. Payback per Acq.</t>
  </si>
  <si>
    <t xml:space="preserve">0) Value Creation Plan Master Switch </t>
  </si>
  <si>
    <t xml:space="preserve">Scenario Switch </t>
  </si>
  <si>
    <t>0.0x Difference</t>
  </si>
  <si>
    <t>Adjustment</t>
  </si>
  <si>
    <t>% IRR ; USD M</t>
  </si>
  <si>
    <t>Operational performance (USDm)</t>
  </si>
  <si>
    <t xml:space="preserve">% growth </t>
  </si>
  <si>
    <t>New Aquired Revenue</t>
  </si>
  <si>
    <t>Total Revenue</t>
  </si>
  <si>
    <t>Base Adjusted EBITDA</t>
  </si>
  <si>
    <t>% Margin</t>
  </si>
  <si>
    <t>New Aquired EBITDA</t>
  </si>
  <si>
    <t>Maintenance Capex</t>
  </si>
  <si>
    <t>% of revenue</t>
  </si>
  <si>
    <t>Total Capex</t>
  </si>
  <si>
    <t>FYE 31- Dec</t>
  </si>
  <si>
    <t>CAGR</t>
  </si>
  <si>
    <t>21-'23P</t>
  </si>
  <si>
    <t>Total EBITDA</t>
  </si>
  <si>
    <t>FCF</t>
  </si>
  <si>
    <t>FCF (Excl. M&amp;A)</t>
  </si>
  <si>
    <t>% Conversion</t>
  </si>
  <si>
    <t>New Acquisition Spend</t>
  </si>
  <si>
    <t>Key Statistics</t>
  </si>
  <si>
    <t>At Close</t>
  </si>
  <si>
    <t>EV/(EBITDA-Maintenance Capex)</t>
  </si>
  <si>
    <t>Total Debt (USDm)</t>
  </si>
  <si>
    <t>Total Net Debt (USDm)</t>
  </si>
  <si>
    <t>EBITDA/net Interest Expense</t>
  </si>
  <si>
    <t>(EBITDA-Maintenance Capex)/Net interest expense</t>
  </si>
  <si>
    <t>(EBITDA-Maintenance Capex)/Debt Service</t>
  </si>
  <si>
    <t>Net Debt /EBITDA</t>
  </si>
  <si>
    <t xml:space="preserve">Cost of Operations </t>
  </si>
  <si>
    <t>Sales &amp; Marketing</t>
  </si>
  <si>
    <t>General &amp; Administrative</t>
  </si>
  <si>
    <t>Other non comprehensive income</t>
  </si>
  <si>
    <t>Net Income</t>
  </si>
  <si>
    <t>USD</t>
  </si>
  <si>
    <t>Earnings Before Taxes</t>
  </si>
  <si>
    <t>Rev change (YoY)</t>
  </si>
  <si>
    <t>Net margin</t>
  </si>
  <si>
    <t xml:space="preserve">Balance Sheet </t>
  </si>
  <si>
    <t>Accounts Receivable</t>
  </si>
  <si>
    <t>Due from related parties</t>
  </si>
  <si>
    <t>Accounts Payable</t>
  </si>
  <si>
    <t>Debt</t>
  </si>
  <si>
    <t>D/EBITDA</t>
  </si>
  <si>
    <t>AR</t>
  </si>
  <si>
    <t>Days</t>
  </si>
  <si>
    <t>AP</t>
  </si>
  <si>
    <t>Changes in NWC</t>
  </si>
  <si>
    <t>Cash Flow Statement</t>
  </si>
  <si>
    <t>Other Non comprehensive income</t>
  </si>
  <si>
    <t>Variation in other assets</t>
  </si>
  <si>
    <t>Variation in debt</t>
  </si>
  <si>
    <t>Net Cash Flow (Theorical)</t>
  </si>
  <si>
    <t>Net Cash Flow (Theorical) delta</t>
  </si>
  <si>
    <t>Not found</t>
  </si>
  <si>
    <t>Adj.</t>
  </si>
  <si>
    <t>Historic Check</t>
  </si>
  <si>
    <t>avg</t>
  </si>
  <si>
    <t>SG&amp;A as % of rev</t>
  </si>
  <si>
    <t>Capex as % of revenue</t>
  </si>
  <si>
    <t>AVG</t>
  </si>
  <si>
    <t>AVG -CAGR"</t>
  </si>
  <si>
    <t>Historical returns: Stocks, Bonds &amp; T.Bills with premiums</t>
  </si>
  <si>
    <t>In US Dollars</t>
  </si>
  <si>
    <t>Customized Geometric risk premium estimator</t>
  </si>
  <si>
    <t>What is your riskfree rate?</t>
  </si>
  <si>
    <t>LT</t>
    <phoneticPr fontId="6" type="noConversion"/>
  </si>
  <si>
    <t>Estimates of risk premiums from 1928, over the last 50 years and over the last 10 years</t>
  </si>
  <si>
    <t>Enter your starting year</t>
  </si>
  <si>
    <t>are provided at the bottom of this table.</t>
  </si>
  <si>
    <t>Value of stocks in starting year:</t>
  </si>
  <si>
    <t>Value of T.Bills in starting year:</t>
    <phoneticPr fontId="6" type="noConversion"/>
  </si>
  <si>
    <t>Value of T.bonds in starting year:</t>
  </si>
  <si>
    <t>Value of Real estate in starting year</t>
  </si>
  <si>
    <t>Value of Gold in starting year</t>
  </si>
  <si>
    <t>Estimate of risk premium based on your inputs:</t>
  </si>
  <si>
    <t>Annual Returns on Investments in</t>
  </si>
  <si>
    <t>Value of $100 invested at start of 1928 in</t>
  </si>
  <si>
    <t>Annual Risk Premium</t>
  </si>
  <si>
    <t>Annual Real Returns</t>
  </si>
  <si>
    <t>S&amp;P 500 (includes dividends)</t>
  </si>
  <si>
    <t>3-month T.Bill</t>
  </si>
  <si>
    <t>US T. Bond (10-year)</t>
  </si>
  <si>
    <t xml:space="preserve"> Baa Corporate Bond</t>
  </si>
  <si>
    <t>Real Estate</t>
  </si>
  <si>
    <t>Gold*</t>
  </si>
  <si>
    <t>S&amp;P 500 (includes dividends)3</t>
  </si>
  <si>
    <t>3-month T.Bill4</t>
  </si>
  <si>
    <t>US T. Bond5</t>
  </si>
  <si>
    <t xml:space="preserve"> Baa Corporate Bond2</t>
  </si>
  <si>
    <t>Real Estate2</t>
  </si>
  <si>
    <t>Gold2</t>
  </si>
  <si>
    <t>Stocks - Bills</t>
    <phoneticPr fontId="6" type="noConversion"/>
  </si>
  <si>
    <t>Stocks - Bonds</t>
    <phoneticPr fontId="6" type="noConversion"/>
  </si>
  <si>
    <t>Stocks - Baa Corp Bond</t>
  </si>
  <si>
    <t>Historical risk premium</t>
  </si>
  <si>
    <t>Inflation Rate</t>
  </si>
  <si>
    <t>S&amp;P 500 (includes dividends)2</t>
  </si>
  <si>
    <t>3-month T. Bill (Real)</t>
  </si>
  <si>
    <t>!0-year T.Bonds</t>
  </si>
  <si>
    <t>Baa Corp Bonds</t>
  </si>
  <si>
    <t>Real Estate3</t>
  </si>
  <si>
    <t>Gold</t>
  </si>
  <si>
    <t>Arithmetic Average Historical Return</t>
  </si>
  <si>
    <t>Risk Premium</t>
  </si>
  <si>
    <t>Standard Error</t>
    <phoneticPr fontId="6" type="noConversion"/>
  </si>
  <si>
    <t>Arithmetic Average Annual Real Return</t>
  </si>
  <si>
    <t>1928-2023</t>
  </si>
  <si>
    <t>Stocks - T.Bills</t>
  </si>
  <si>
    <t>Stocks - T.Bonds</t>
  </si>
  <si>
    <t>1974-2023</t>
  </si>
  <si>
    <t>2014-2023</t>
  </si>
  <si>
    <t>Geometric Average Historical Return</t>
  </si>
  <si>
    <t>Note</t>
  </si>
  <si>
    <t>* Prior to 1971, gold prices were fixed and with the gold standard in place, and were mostly stable.</t>
  </si>
  <si>
    <t>if you are looking for a pure-play beta, i.e., a beta for a  business, the unlevered beta corrected for cash is your best bet. Since even sector betas can move over time, I have also reported the average of the this sector beta across time in the last column. This number, for obvious reasons, is less likely to be volatile over time.</t>
  </si>
  <si>
    <t>Beta, Unlevered beta and other risk measures</t>
  </si>
  <si>
    <t>Do you want to use marginal or effective tax rates in unlevering betas?</t>
  </si>
  <si>
    <t>Marginal</t>
  </si>
  <si>
    <t>If marginal tax rate, enter the marginal tax rate to use</t>
  </si>
  <si>
    <t>Unlevered beta corrected for cash - Over time</t>
  </si>
  <si>
    <t xml:space="preserve">Beta </t>
  </si>
  <si>
    <t>D/E Ratio</t>
  </si>
  <si>
    <t>Effective Tax rate</t>
  </si>
  <si>
    <t>Unlevered beta</t>
  </si>
  <si>
    <t>Cash/Firm value</t>
  </si>
  <si>
    <t>Unlevered beta corrected for cash</t>
  </si>
  <si>
    <t>HiLo Risk</t>
  </si>
  <si>
    <t>Standard deviation of equity</t>
  </si>
  <si>
    <t>Standard deviation in operating income (last 10 years)</t>
  </si>
  <si>
    <t>2020</t>
  </si>
  <si>
    <t>2021</t>
  </si>
  <si>
    <t>2022</t>
  </si>
  <si>
    <t>2023</t>
  </si>
  <si>
    <t>Average (2020-24)</t>
  </si>
  <si>
    <t>DCF LBO Valuation</t>
  </si>
  <si>
    <t>SG&amp;A - Adjustment</t>
  </si>
  <si>
    <t>EBITDA Adjustments</t>
  </si>
  <si>
    <t>Target SG&amp;A as % of rev</t>
  </si>
  <si>
    <t>Actual SG&amp;A as % of rev</t>
  </si>
  <si>
    <t>X</t>
  </si>
  <si>
    <t>Comps Valuation</t>
  </si>
  <si>
    <t>Overview - EV/EBITDA (in USD  millions)</t>
  </si>
  <si>
    <t>FCFF/Revenue</t>
  </si>
  <si>
    <t>EV/EBITDA per Acquisition</t>
  </si>
  <si>
    <t>Workshop overhaul capex (Per new Shop)</t>
  </si>
  <si>
    <t>Main Business line</t>
  </si>
  <si>
    <t>Base Revenue</t>
  </si>
  <si>
    <t>Historic CAGR</t>
  </si>
  <si>
    <t>Projected CAGR</t>
  </si>
  <si>
    <t># Aquisitions per year (first year)</t>
  </si>
  <si>
    <t xml:space="preserve"># Additional Aquisitions </t>
  </si>
  <si>
    <t>Sr. Debt</t>
  </si>
  <si>
    <t>Sr. Debt profile</t>
  </si>
  <si>
    <t>Sr. Debt amount</t>
  </si>
  <si>
    <t>Financing - Sr. Debt</t>
  </si>
  <si>
    <t>6) Leverage: Sr. Debt</t>
  </si>
  <si>
    <t>Interests Sr. Debt</t>
  </si>
  <si>
    <t>Expenses Sr. Debt</t>
  </si>
  <si>
    <t>Sr. Debt BOP</t>
  </si>
  <si>
    <t>Sr. Debt EOP</t>
  </si>
  <si>
    <t>Sr. Debt expenses</t>
  </si>
  <si>
    <t>Sr. Debt Cash Flow</t>
  </si>
  <si>
    <t>Variations in Sr. Debt</t>
  </si>
  <si>
    <t>Sources &amp; Uses</t>
  </si>
  <si>
    <t>USDm</t>
  </si>
  <si>
    <t>Valuation Multiples</t>
  </si>
  <si>
    <t>Valuation Metrics 2023E</t>
  </si>
  <si>
    <t>Adj. EBITDA</t>
  </si>
  <si>
    <t>xEV</t>
  </si>
  <si>
    <t>Adj. EBITDA - Capex</t>
  </si>
  <si>
    <t>Exit Mult.</t>
  </si>
  <si>
    <t>Levered MoiC</t>
  </si>
  <si>
    <t>Exit at 2028</t>
  </si>
  <si>
    <t>Debt Repayment</t>
  </si>
  <si>
    <t>23-'28E</t>
  </si>
  <si>
    <t>Additional Debt for Inorganic Acquisitions</t>
  </si>
  <si>
    <t>Exit - helper</t>
  </si>
  <si>
    <t>Cash at exit</t>
  </si>
  <si>
    <t>Debt at exit</t>
  </si>
  <si>
    <t>Required MoiC</t>
  </si>
  <si>
    <t>Required EV</t>
  </si>
  <si>
    <t>Required Equity Value</t>
  </si>
  <si>
    <t>Exit EV/EBITDA</t>
  </si>
  <si>
    <t>Required EBITDA</t>
  </si>
  <si>
    <t>Base Adj. EBITDA at Exit</t>
  </si>
  <si>
    <t>Inorganic Acq. Ebitda target</t>
  </si>
  <si>
    <t>EBITDA per shop</t>
  </si>
  <si>
    <t># of additional shops needed</t>
  </si>
  <si>
    <t>Total additional shops live</t>
  </si>
  <si>
    <t>Acquisition reserve</t>
  </si>
  <si>
    <t>Capex needed</t>
  </si>
  <si>
    <t>Sr, Debt + Inorganic Acquisitions</t>
  </si>
  <si>
    <t>Sr. Debt - EV</t>
  </si>
  <si>
    <t>Returns (FYE 2028 Exit)</t>
  </si>
  <si>
    <t>Equity Cashflow inputs</t>
  </si>
  <si>
    <t>Equity Cashflow</t>
  </si>
  <si>
    <t>Gross Cash Flow to Equity</t>
  </si>
  <si>
    <t>Step 2: GP Catch-Up</t>
  </si>
  <si>
    <t>Limited Parters</t>
  </si>
  <si>
    <t>General Partners</t>
  </si>
  <si>
    <t>Total Equity Invested</t>
  </si>
  <si>
    <t>LP/GP Distribution</t>
  </si>
  <si>
    <t>Prefered Return</t>
  </si>
  <si>
    <t>Step 1: Return of Capital + Pref. Return</t>
  </si>
  <si>
    <t>MoIC</t>
  </si>
  <si>
    <t>Holding Period</t>
  </si>
  <si>
    <t>Implied Gross IRR</t>
  </si>
  <si>
    <t>As % of total Equity</t>
  </si>
  <si>
    <t>Invested Capital</t>
  </si>
  <si>
    <t>Invested Equity</t>
  </si>
  <si>
    <t>Limited Partners Prefered Return</t>
  </si>
  <si>
    <t>General Partners Prefered Return</t>
  </si>
  <si>
    <t>Cash Flow Available for Step 2</t>
  </si>
  <si>
    <t>Limited Partners Prefered Return - BOP</t>
  </si>
  <si>
    <t>Limited Partners Prefered Return - EOP</t>
  </si>
  <si>
    <t>Cash Flow Available for Step 1 - GP Cut</t>
  </si>
  <si>
    <t>Cash Flow Available for Step 1 - LP Cut</t>
  </si>
  <si>
    <t>General Partners Prefered Return - BOP</t>
  </si>
  <si>
    <t>General Partners Prefered Return - EOP</t>
  </si>
  <si>
    <t>Return of Capital + Pref. Return</t>
  </si>
  <si>
    <t>Invested Capital + Prefered Return</t>
  </si>
  <si>
    <t>% of Realized returns</t>
  </si>
  <si>
    <t>Total distributions until Step 2</t>
  </si>
  <si>
    <t>GP % of returns</t>
  </si>
  <si>
    <t>LP % of returns</t>
  </si>
  <si>
    <t>GP Catch-Up</t>
  </si>
  <si>
    <t>General Partners Catch-Up- BOP</t>
  </si>
  <si>
    <t>General Partners Catch-Up- EOP</t>
  </si>
  <si>
    <t>Cash Flow Available for Step 3</t>
  </si>
  <si>
    <t>Step 3 Moic Cap</t>
  </si>
  <si>
    <t>Step 3 Distribution Target</t>
  </si>
  <si>
    <t>Step 3: GP % of returns</t>
  </si>
  <si>
    <t>Step 3: LP % of returns</t>
  </si>
  <si>
    <t>Step 3 GP Carried Interest</t>
  </si>
  <si>
    <t>Limited Partners Step 3 Distribution - EOP</t>
  </si>
  <si>
    <t>Limited Partners Step 3 Distribution - BOP</t>
  </si>
  <si>
    <t>General Partner Step 3 Distribution - EOP</t>
  </si>
  <si>
    <t>General Partner Step 3 Distribution - BOP</t>
  </si>
  <si>
    <t>Step 3 Distribution Target for LP</t>
  </si>
  <si>
    <t>Step 3 Distribution Target for GP</t>
  </si>
  <si>
    <t>Carried Interest</t>
  </si>
  <si>
    <t>Amount to be distributed - Return</t>
  </si>
  <si>
    <t>Amount to be distributed - Carried Interest</t>
  </si>
  <si>
    <t>General Partner Step 3 Carried Interest- BOP</t>
  </si>
  <si>
    <t>General Partner Step 3 Carried Interest - EOP</t>
  </si>
  <si>
    <t>Cash Flow Available for Step 3 - Carried Interest</t>
  </si>
  <si>
    <t xml:space="preserve">Cash Flow Available for Step 4 </t>
  </si>
  <si>
    <t>Distributions before step 4</t>
  </si>
  <si>
    <t>Step 4 Moic Cap</t>
  </si>
  <si>
    <t>Step 4 Return Target</t>
  </si>
  <si>
    <t>Step 4 Distribution Target</t>
  </si>
  <si>
    <t>Step 4 Distribution Target for LP</t>
  </si>
  <si>
    <t>Step 4 Distribution Target for GP</t>
  </si>
  <si>
    <t>Step 4: LP % of returns</t>
  </si>
  <si>
    <t>Step 4: GP % of returns</t>
  </si>
  <si>
    <t>Step 4 GP Carried Interest</t>
  </si>
  <si>
    <t>Cash Flow Available for Step 5</t>
  </si>
  <si>
    <t>Step 5: Resting Distribution</t>
  </si>
  <si>
    <t>Step 5: LP % of returns</t>
  </si>
  <si>
    <t>Step 5: GP % of returns</t>
  </si>
  <si>
    <t>Step 5 Distributions</t>
  </si>
  <si>
    <t>Step 5 LP Distributions</t>
  </si>
  <si>
    <t>Step 5 GP Distributions</t>
  </si>
  <si>
    <t>Resting Cash Flow</t>
  </si>
  <si>
    <t>LP/GP Distribution - Summary</t>
  </si>
  <si>
    <t>Limited Partners</t>
  </si>
  <si>
    <t>Limited Partners Cash Flow</t>
  </si>
  <si>
    <t>LPs IRR</t>
  </si>
  <si>
    <t>LPs MoIC</t>
  </si>
  <si>
    <t>General Partner</t>
  </si>
  <si>
    <t>Limited Partners Step 4 Distribution - BOP</t>
  </si>
  <si>
    <t>Limited Partners Step 4 Distribution - EOP</t>
  </si>
  <si>
    <t>General Partner Step 4 Distribution - BOP</t>
  </si>
  <si>
    <t>General Partner Step 4 Distribution - EOP</t>
  </si>
  <si>
    <t>Cash Flow Available for Step 4 - Carried Interest</t>
  </si>
  <si>
    <t>General Partner Step 4 Carried Interest- BOP</t>
  </si>
  <si>
    <t>General Partner Step 4 Carried Interest - EOP</t>
  </si>
  <si>
    <t>General Partners Cash Flow (w/o Carried Interest)</t>
  </si>
  <si>
    <t>GPs IRR  (w/o Carried Interest)</t>
  </si>
  <si>
    <t>GPs MoIC (w/o Carried Interest)</t>
  </si>
  <si>
    <t>Step 3 Carried Interest</t>
  </si>
  <si>
    <t>Step 4 Carried Interest</t>
  </si>
  <si>
    <t>Step 2 Carried Interest Catch-up</t>
  </si>
  <si>
    <t>Step 5 Carried Interest</t>
  </si>
  <si>
    <t>General Partners Cash Flow (Carried Interest Inc.)</t>
  </si>
  <si>
    <t>GPs IRR  (Carried Interest Inc)</t>
  </si>
  <si>
    <t>GPs MoIC (Carried Interest Inc)</t>
  </si>
  <si>
    <t>FCFE</t>
  </si>
  <si>
    <t>FCFE - Check</t>
  </si>
  <si>
    <t>Amount to be distributed - Capital + Pref. Return</t>
  </si>
  <si>
    <t>Amount to be distributed - GP Catch UP</t>
  </si>
  <si>
    <t>Step 3 Return Cap</t>
  </si>
  <si>
    <t>LP/GP Distribution - KPIs</t>
  </si>
  <si>
    <t>Total Distributions</t>
  </si>
  <si>
    <t>Total LP Distributions (w/o Capital)</t>
  </si>
  <si>
    <t>Total GP Distributions - w/o Carried Interest &amp; Capital)</t>
  </si>
  <si>
    <t>Total GP Distributions - Carried Interest</t>
  </si>
  <si>
    <t>% of returns</t>
  </si>
  <si>
    <t>Carried Interest / Total Distributions</t>
  </si>
  <si>
    <t>LP/GP Distributions</t>
  </si>
  <si>
    <t>Implicit prefered IRR</t>
  </si>
  <si>
    <t>Step 1: Prefered Return</t>
  </si>
  <si>
    <t>Is there enough cash for step 3?</t>
  </si>
  <si>
    <t>Yes/No</t>
  </si>
  <si>
    <t>Cash Needed</t>
  </si>
  <si>
    <t>Available Cash</t>
  </si>
  <si>
    <t>Max Carried interest payable</t>
  </si>
  <si>
    <t>Max LP distributions payable</t>
  </si>
  <si>
    <t xml:space="preserve">USD of Equity </t>
  </si>
  <si>
    <t>Is there enough cash for step ?</t>
  </si>
  <si>
    <t>Cash Flow Available for Step 4</t>
  </si>
  <si>
    <t>Deal Fees</t>
  </si>
  <si>
    <t>% of EBITDA</t>
  </si>
  <si>
    <t>EBITDA w/o management fees</t>
  </si>
  <si>
    <t>Management Fee</t>
  </si>
  <si>
    <t>Management Fee - min</t>
  </si>
  <si>
    <t>Management Fee - max</t>
  </si>
  <si>
    <t>Management Fee - Min</t>
  </si>
  <si>
    <t>Management Fee - Max</t>
  </si>
  <si>
    <t>Management Fee - Avg.</t>
  </si>
  <si>
    <t>Adj (6)</t>
  </si>
  <si>
    <t>Cash (Use)</t>
  </si>
  <si>
    <t>Sr. Debt - Inorganic Acq. Reserve</t>
  </si>
  <si>
    <t>Closing Fee</t>
  </si>
  <si>
    <t>LP Cash Flow</t>
  </si>
  <si>
    <t>GP Cash Flow</t>
  </si>
  <si>
    <t>Acum.  Cash Flow to Equity</t>
  </si>
  <si>
    <t>Acum. Cash Flow to LPs</t>
  </si>
  <si>
    <t>Acum. Cash Flow to GP</t>
  </si>
  <si>
    <t>Total Equity Cash-in</t>
  </si>
  <si>
    <t>Step 5 GP Carried Interest</t>
  </si>
  <si>
    <t>Limited Partners Step 5 Distribution - BOP</t>
  </si>
  <si>
    <t>Limited Partners Step 5 Distribution - EOP</t>
  </si>
  <si>
    <t>General Partner Step 5 Distribution - BOP</t>
  </si>
  <si>
    <t>General Partner Step 5 Distribution - EOP</t>
  </si>
  <si>
    <t>Cash Flow Available for Step 5 - Carried Interest</t>
  </si>
  <si>
    <t>General Partner Step 5 Carried Interest- BOP</t>
  </si>
  <si>
    <t>General Partner Step 5 Carried Interest - EOP</t>
  </si>
  <si>
    <t>Capital + Pref. Return</t>
  </si>
  <si>
    <t>80% up to 2.5x</t>
  </si>
  <si>
    <t>75% up to 3.5x</t>
  </si>
  <si>
    <t>70% resting</t>
  </si>
  <si>
    <t>Capital + Prefered Return</t>
  </si>
  <si>
    <t xml:space="preserve">70% resting </t>
  </si>
  <si>
    <t>20% up to 2.5x</t>
  </si>
  <si>
    <t>25% up to 3.5x</t>
  </si>
  <si>
    <t>30% resting</t>
  </si>
  <si>
    <t>GP CF (w/o Carry)</t>
  </si>
  <si>
    <t>GP CF (Carry Inc)</t>
  </si>
  <si>
    <t>Catch-up</t>
  </si>
  <si>
    <t>YOUR PROJECT</t>
  </si>
  <si>
    <t>YOUR INVESTMENT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</si>
</sst>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\(0\)"/>
    <numFmt numFmtId="165" formatCode="#,##0.0%_);\(#,##0.0%\)"/>
    <numFmt numFmtId="166" formatCode="_(* #,##0.0%;_(* \(#,##0.0\)%;_(* &quot;   -&quot;?_)"/>
    <numFmt numFmtId="167" formatCode="0.0"/>
    <numFmt numFmtId="168" formatCode="_(* #,##0_);_(* \(#,##0\);_(* &quot;   -&quot;?_);_(@_)"/>
    <numFmt numFmtId="169" formatCode="0.0%"/>
    <numFmt numFmtId="170" formatCode="_(* #,##0.00%;_(* \(#,##0.00\)%;_(* &quot;   -&quot;?_)"/>
    <numFmt numFmtId="171" formatCode="[$-409]dd\-mmm\-yy;@"/>
    <numFmt numFmtId="172" formatCode="General\A"/>
    <numFmt numFmtId="173" formatCode="General\P"/>
    <numFmt numFmtId="174" formatCode="&quot;Year &quot;0"/>
    <numFmt numFmtId="175" formatCode="_(* #,##0.0\x;_(* \(#,##0.0\)\x;_(* &quot;   -&quot;?_)"/>
    <numFmt numFmtId="176" formatCode="_(* #,##0.0_);_(* \(#,##0.0\);_(* &quot;   -&quot;?_);_(@_)"/>
    <numFmt numFmtId="177" formatCode="_(* #,##0.00\x;_(* \(#,##0.00\)\x;_(* &quot;   -&quot;?_)"/>
    <numFmt numFmtId="178" formatCode="_(* \$\ #,##0.0_);_(* \$\ \(#,##0.0\);_(* &quot;&quot;\$\ \ \-&quot;&quot;?_);_(@_)"/>
    <numFmt numFmtId="179" formatCode="_(* #,##0.00_);_(* \(#,##0.00\);_(* &quot;   -&quot;?_);_(@_)"/>
    <numFmt numFmtId="180" formatCode="0.0\ &quot;Day(s)&quot;"/>
    <numFmt numFmtId="181" formatCode="_(* #,##0.000_);_(* \(#,##0.000\);_(* &quot;   -&quot;?_);_(@_)"/>
    <numFmt numFmtId="182" formatCode="_(* #,##0.000000_);_(* \(#,##0.000000\);_(* &quot;   -&quot;?_);_(@_)"/>
    <numFmt numFmtId="183" formatCode="_(\ #,###\ &quot;bps&quot;\ \_x000a_%%_);\(#,###\)\ &quot;bps&quot;\ \_x000a_%%_);_(* &quot;   -&quot;?_)"/>
    <numFmt numFmtId="184" formatCode="_-* #,##0.0_-;\-* #,##0.0_-;_-* &quot;-&quot;?_-;_-@_-"/>
    <numFmt numFmtId="185" formatCode="_([$$-409]* #,##0.00_);_([$$-409]* \(#,##0.00\);_([$$-409]* &quot;-&quot;??_);_(@_)"/>
    <numFmt numFmtId="186" formatCode="&quot;On&quot;;;&quot;Off&quot;"/>
    <numFmt numFmtId="187" formatCode="General&quot;A&quot;"/>
    <numFmt numFmtId="188" formatCode="General&quot;P&quot;"/>
    <numFmt numFmtId="189" formatCode="_(* \$\ #,##0_);_(* \$\ \(#,##0\);_(* &quot;&quot;\$\ \ \-&quot;&quot;?_);_(@_)"/>
    <numFmt numFmtId="190" formatCode="0.0000"/>
    <numFmt numFmtId="191" formatCode="&quot;IRR&quot;"/>
    <numFmt numFmtId="192" formatCode="&quot;MOIC&quot;"/>
    <numFmt numFmtId="193" formatCode="0.0\ &quot;Year(s)&quot;"/>
    <numFmt numFmtId="194" formatCode="_(* #,##0.0_);_(* \(#,##0.0\);_(* &quot;-&quot;?_);_(@_)"/>
  </numFmts>
  <fonts count="91">
    <font>
      <sz val="11"/>
      <color theme="1"/>
      <name val="Helvetica"/>
      <family val="2"/>
    </font>
    <font>
      <sz val="11"/>
      <color theme="1"/>
      <name val="Helvetica"/>
      <family val="2"/>
    </font>
    <font>
      <sz val="10"/>
      <color theme="1"/>
      <name val="Lato"/>
      <family val="2"/>
    </font>
    <font>
      <sz val="10"/>
      <color rgb="FF0000FF"/>
      <name val="Lato"/>
      <family val="2"/>
    </font>
    <font>
      <sz val="10"/>
      <color rgb="FF008000"/>
      <name val="Lato"/>
      <family val="2"/>
    </font>
    <font>
      <sz val="10"/>
      <color rgb="FF000000"/>
      <name val="Lato"/>
      <family val="2"/>
    </font>
    <font>
      <b/>
      <sz val="10"/>
      <name val="Lato"/>
      <family val="2"/>
    </font>
    <font>
      <b/>
      <sz val="10"/>
      <color rgb="FF000000"/>
      <name val="Lato"/>
      <family val="2"/>
    </font>
    <font>
      <sz val="11"/>
      <color theme="1"/>
      <name val="Aptos Narrow"/>
      <family val="2"/>
      <scheme val="minor"/>
    </font>
    <font>
      <b/>
      <sz val="10"/>
      <color rgb="FF003366"/>
      <name val="lato"/>
      <family val="2"/>
    </font>
    <font>
      <u/>
      <sz val="11"/>
      <color theme="10"/>
      <name val="Helvetica"/>
      <family val="2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name val="Geneva"/>
      <family val="2"/>
      <charset val="1"/>
    </font>
    <font>
      <sz val="10"/>
      <color indexed="8"/>
      <name val="MS Sans Serif"/>
    </font>
    <font>
      <sz val="12"/>
      <name val="Times"/>
      <family val="1"/>
    </font>
    <font>
      <sz val="14"/>
      <color indexed="10"/>
      <name val="Times"/>
      <family val="1"/>
    </font>
    <font>
      <sz val="14"/>
      <color indexed="10"/>
      <name val="Geneva"/>
      <family val="2"/>
      <charset val="1"/>
    </font>
    <font>
      <i/>
      <sz val="12"/>
      <name val="Times"/>
      <family val="1"/>
    </font>
    <font>
      <sz val="10"/>
      <color theme="0"/>
      <name val="Geneva"/>
      <family val="2"/>
      <charset val="1"/>
    </font>
    <font>
      <sz val="12"/>
      <color theme="0"/>
      <name val="Times"/>
      <family val="1"/>
    </font>
    <font>
      <b/>
      <sz val="12"/>
      <color theme="0"/>
      <name val="Times"/>
      <family val="1"/>
    </font>
    <font>
      <b/>
      <sz val="12"/>
      <name val="Times"/>
      <family val="1"/>
    </font>
    <font>
      <i/>
      <sz val="12"/>
      <name val="Aptos Narrow"/>
      <family val="2"/>
      <scheme val="minor"/>
    </font>
    <font>
      <i/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2"/>
      <name val="Times"/>
      <family val="1"/>
    </font>
    <font>
      <b/>
      <sz val="9"/>
      <color indexed="8"/>
      <name val="Geneva"/>
      <family val="2"/>
      <charset val="1"/>
    </font>
    <font>
      <sz val="9"/>
      <color indexed="8"/>
      <name val="Geneva"/>
      <family val="2"/>
      <charset val="1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10"/>
      <name val="Verdana"/>
      <family val="2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rgb="FF008000"/>
      <name val="Aptos Narrow"/>
      <scheme val="minor"/>
    </font>
    <font>
      <sz val="10"/>
      <color rgb="FFFF0000"/>
      <name val="Aptos Narrow"/>
      <scheme val="minor"/>
    </font>
    <font>
      <sz val="10"/>
      <color rgb="FF0000FF"/>
      <name val="Aptos Narrow"/>
      <scheme val="minor"/>
    </font>
    <font>
      <b/>
      <sz val="12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theme="1" tint="0.34998626667073579"/>
      <name val="Aptos Narrow"/>
      <scheme val="minor"/>
    </font>
    <font>
      <sz val="12"/>
      <color rgb="FF008000"/>
      <name val="Aptos Narrow"/>
      <scheme val="minor"/>
    </font>
    <font>
      <i/>
      <sz val="12"/>
      <color rgb="FF000000"/>
      <name val="Aptos Narrow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sz val="12"/>
      <color rgb="FF0000FF"/>
      <name val="Aptos Narrow"/>
      <scheme val="minor"/>
    </font>
    <font>
      <b/>
      <i/>
      <sz val="12"/>
      <color rgb="FF000000"/>
      <name val="Aptos Narrow"/>
      <scheme val="minor"/>
    </font>
    <font>
      <b/>
      <i/>
      <sz val="12"/>
      <color theme="1" tint="0.34998626667073579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FF"/>
      <name val="Aptos Narrow"/>
      <scheme val="minor"/>
    </font>
    <font>
      <b/>
      <sz val="12"/>
      <color rgb="FF008000"/>
      <name val="Aptos Narrow"/>
      <scheme val="minor"/>
    </font>
    <font>
      <i/>
      <sz val="12"/>
      <color rgb="FF008000"/>
      <name val="Aptos Narrow"/>
      <scheme val="minor"/>
    </font>
    <font>
      <i/>
      <sz val="12"/>
      <color theme="1"/>
      <name val="Aptos Narrow"/>
      <scheme val="minor"/>
    </font>
    <font>
      <i/>
      <sz val="12"/>
      <color rgb="FF0000FF"/>
      <name val="Aptos Narrow"/>
      <scheme val="minor"/>
    </font>
    <font>
      <b/>
      <sz val="22"/>
      <color theme="1"/>
      <name val="Aptos Narrow"/>
      <scheme val="minor"/>
    </font>
    <font>
      <sz val="11"/>
      <color theme="1"/>
      <name val="Aptos Narrow"/>
      <scheme val="minor"/>
    </font>
    <font>
      <b/>
      <u/>
      <sz val="11"/>
      <color theme="1"/>
      <name val="Aptos Narrow"/>
      <scheme val="minor"/>
    </font>
    <font>
      <sz val="10"/>
      <color theme="8"/>
      <name val="Aptos Narrow"/>
      <scheme val="minor"/>
    </font>
    <font>
      <i/>
      <sz val="10"/>
      <color rgb="FFFF0000"/>
      <name val="Aptos Narrow"/>
      <scheme val="minor"/>
    </font>
    <font>
      <b/>
      <i/>
      <sz val="12"/>
      <name val="Aptos Narrow"/>
      <scheme val="minor"/>
    </font>
    <font>
      <i/>
      <sz val="12"/>
      <color theme="1" tint="0.499984740745262"/>
      <name val="Aptos Narrow"/>
      <scheme val="minor"/>
    </font>
    <font>
      <sz val="12"/>
      <color theme="0"/>
      <name val="Aptos Narrow"/>
      <scheme val="minor"/>
    </font>
    <font>
      <i/>
      <u/>
      <sz val="12"/>
      <color theme="0"/>
      <name val="Aptos Narrow"/>
      <scheme val="minor"/>
    </font>
    <font>
      <i/>
      <sz val="12"/>
      <color theme="0"/>
      <name val="Aptos Narrow"/>
      <scheme val="minor"/>
    </font>
    <font>
      <b/>
      <i/>
      <sz val="12"/>
      <color theme="1"/>
      <name val="Aptos Narrow"/>
      <scheme val="minor"/>
    </font>
    <font>
      <u/>
      <sz val="12"/>
      <color theme="0"/>
      <name val="Aptos Narrow"/>
      <scheme val="minor"/>
    </font>
    <font>
      <u val="singleAccounting"/>
      <sz val="12"/>
      <color theme="0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scheme val="minor"/>
    </font>
    <font>
      <i/>
      <sz val="12"/>
      <name val="Aptos Narrow"/>
      <scheme val="minor"/>
    </font>
    <font>
      <b/>
      <i/>
      <sz val="12"/>
      <color theme="0"/>
      <name val="Aptos Narrow"/>
      <scheme val="minor"/>
    </font>
    <font>
      <u/>
      <sz val="12"/>
      <color theme="1"/>
      <name val="Aptos Narrow"/>
      <scheme val="minor"/>
    </font>
    <font>
      <b/>
      <i/>
      <sz val="12"/>
      <color rgb="FF008000"/>
      <name val="Aptos Narrow"/>
      <scheme val="minor"/>
    </font>
    <font>
      <b/>
      <i/>
      <sz val="12"/>
      <color rgb="FF0000FF"/>
      <name val="Aptos Narrow"/>
      <scheme val="minor"/>
    </font>
    <font>
      <b/>
      <sz val="12"/>
      <color rgb="FF002060"/>
      <name val="Aptos Narrow"/>
      <scheme val="minor"/>
    </font>
    <font>
      <i/>
      <sz val="12"/>
      <color theme="0" tint="-0.249977111117893"/>
      <name val="Aptos Narrow"/>
      <scheme val="minor"/>
    </font>
    <font>
      <sz val="12"/>
      <color rgb="FF7030A0"/>
      <name val="Aptos Narrow"/>
      <scheme val="minor"/>
    </font>
    <font>
      <sz val="12"/>
      <color theme="8"/>
      <name val="Aptos Narrow"/>
      <scheme val="minor"/>
    </font>
    <font>
      <i/>
      <sz val="12"/>
      <color rgb="FFFF0000"/>
      <name val="Aptos Narrow"/>
      <scheme val="minor"/>
    </font>
    <font>
      <b/>
      <i/>
      <sz val="12"/>
      <color theme="0" tint="-0.499984740745262"/>
      <name val="Aptos Narrow"/>
      <scheme val="minor"/>
    </font>
    <font>
      <b/>
      <i/>
      <sz val="12"/>
      <color rgb="FFFF0000"/>
      <name val="Aptos Narrow"/>
      <scheme val="minor"/>
    </font>
    <font>
      <u/>
      <sz val="12"/>
      <color theme="10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fgColor theme="1" tint="0.499984740745262"/>
        <bgColor indexed="65"/>
      </patternFill>
    </fill>
    <fill>
      <patternFill patternType="solid">
        <fgColor theme="2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0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8"/>
      </bottom>
      <diagonal/>
    </border>
    <border>
      <left style="mediumDashed">
        <color indexed="64"/>
      </left>
      <right/>
      <top/>
      <bottom style="thin">
        <color indexed="8"/>
      </bottom>
      <diagonal/>
    </border>
    <border>
      <left/>
      <right style="mediumDashed">
        <color indexed="64"/>
      </right>
      <top/>
      <bottom style="thin">
        <color indexed="8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mediumDashed">
        <color theme="0" tint="-0.34998626667073579"/>
      </left>
      <right/>
      <top/>
      <bottom/>
      <diagonal/>
    </border>
    <border>
      <left style="mediumDashed">
        <color theme="0" tint="-0.34998626667073579"/>
      </left>
      <right/>
      <top/>
      <bottom style="medium">
        <color indexed="64"/>
      </bottom>
      <diagonal/>
    </border>
    <border>
      <left style="mediumDashed">
        <color theme="0" tint="-0.34998626667073579"/>
      </left>
      <right/>
      <top style="medium">
        <color indexed="64"/>
      </top>
      <bottom style="thin">
        <color indexed="8"/>
      </bottom>
      <diagonal/>
    </border>
    <border>
      <left style="mediumDashed">
        <color theme="0" tint="-0.34998626667073579"/>
      </left>
      <right/>
      <top/>
      <bottom style="thin">
        <color indexed="8"/>
      </bottom>
      <diagonal/>
    </border>
    <border>
      <left style="mediumDashed">
        <color theme="0" tint="-0.34998626667073579"/>
      </left>
      <right/>
      <top style="medium">
        <color indexed="64"/>
      </top>
      <bottom/>
      <diagonal/>
    </border>
    <border>
      <left style="mediumDashed">
        <color theme="0" tint="-0.34998626667073579"/>
      </left>
      <right/>
      <top style="thin">
        <color indexed="8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2" fillId="0" borderId="0"/>
    <xf numFmtId="0" fontId="10" fillId="0" borderId="0" applyNumberFormat="0" applyFill="0" applyBorder="0" applyAlignment="0" applyProtection="0"/>
    <xf numFmtId="9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</cellStyleXfs>
  <cellXfs count="992">
    <xf numFmtId="0" fontId="0" fillId="0" borderId="0" xfId="0"/>
    <xf numFmtId="0" fontId="2" fillId="0" borderId="0" xfId="0" applyFont="1"/>
    <xf numFmtId="166" fontId="2" fillId="0" borderId="0" xfId="0" applyNumberFormat="1" applyFont="1"/>
    <xf numFmtId="0" fontId="9" fillId="0" borderId="0" xfId="0" applyFont="1"/>
    <xf numFmtId="0" fontId="5" fillId="0" borderId="7" xfId="0" applyFont="1" applyBorder="1" applyAlignment="1">
      <alignment horizontal="left" indent="1"/>
    </xf>
    <xf numFmtId="166" fontId="3" fillId="0" borderId="8" xfId="0" applyNumberFormat="1" applyFont="1" applyBorder="1"/>
    <xf numFmtId="0" fontId="5" fillId="0" borderId="9" xfId="0" applyFont="1" applyBorder="1" applyAlignment="1">
      <alignment horizontal="left" indent="1"/>
    </xf>
    <xf numFmtId="0" fontId="7" fillId="0" borderId="9" xfId="0" applyFont="1" applyBorder="1"/>
    <xf numFmtId="169" fontId="3" fillId="0" borderId="10" xfId="0" applyNumberFormat="1" applyFont="1" applyBorder="1"/>
    <xf numFmtId="0" fontId="5" fillId="0" borderId="9" xfId="0" applyFont="1" applyBorder="1"/>
    <xf numFmtId="169" fontId="7" fillId="3" borderId="11" xfId="0" applyNumberFormat="1" applyFont="1" applyFill="1" applyBorder="1"/>
    <xf numFmtId="166" fontId="7" fillId="3" borderId="12" xfId="0" applyNumberFormat="1" applyFont="1" applyFill="1" applyBorder="1"/>
    <xf numFmtId="0" fontId="5" fillId="0" borderId="13" xfId="0" applyFont="1" applyBorder="1" applyAlignment="1">
      <alignment horizontal="left" indent="1"/>
    </xf>
    <xf numFmtId="37" fontId="2" fillId="0" borderId="0" xfId="0" applyNumberFormat="1" applyFont="1"/>
    <xf numFmtId="166" fontId="2" fillId="0" borderId="10" xfId="0" applyNumberFormat="1" applyFont="1" applyBorder="1"/>
    <xf numFmtId="37" fontId="2" fillId="0" borderId="10" xfId="0" applyNumberFormat="1" applyFont="1" applyBorder="1"/>
    <xf numFmtId="169" fontId="2" fillId="0" borderId="10" xfId="0" applyNumberFormat="1" applyFont="1" applyBorder="1"/>
    <xf numFmtId="176" fontId="2" fillId="0" borderId="0" xfId="0" applyNumberFormat="1" applyFont="1"/>
    <xf numFmtId="179" fontId="5" fillId="0" borderId="10" xfId="0" applyNumberFormat="1" applyFont="1" applyBorder="1"/>
    <xf numFmtId="0" fontId="0" fillId="0" borderId="35" xfId="0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10" fontId="0" fillId="0" borderId="0" xfId="0" applyNumberFormat="1" applyAlignment="1">
      <alignment horizontal="center"/>
    </xf>
    <xf numFmtId="10" fontId="0" fillId="0" borderId="35" xfId="0" applyNumberFormat="1" applyBorder="1" applyAlignment="1">
      <alignment horizontal="center"/>
    </xf>
    <xf numFmtId="166" fontId="4" fillId="0" borderId="10" xfId="0" applyNumberFormat="1" applyFont="1" applyBorder="1"/>
    <xf numFmtId="10" fontId="2" fillId="0" borderId="0" xfId="0" applyNumberFormat="1" applyFont="1"/>
    <xf numFmtId="0" fontId="12" fillId="18" borderId="2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2" fillId="18" borderId="29" xfId="0" applyFont="1" applyFill="1" applyBorder="1"/>
    <xf numFmtId="0" fontId="15" fillId="18" borderId="31" xfId="0" applyFont="1" applyFill="1" applyBorder="1" applyAlignment="1">
      <alignment horizontal="left"/>
    </xf>
    <xf numFmtId="0" fontId="12" fillId="18" borderId="77" xfId="0" applyFont="1" applyFill="1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8" fillId="19" borderId="35" xfId="0" applyFont="1" applyFill="1" applyBorder="1" applyAlignment="1">
      <alignment horizontal="center"/>
    </xf>
    <xf numFmtId="0" fontId="21" fillId="0" borderId="7" xfId="0" applyFont="1" applyBorder="1"/>
    <xf numFmtId="0" fontId="18" fillId="0" borderId="38" xfId="0" applyFont="1" applyBorder="1"/>
    <xf numFmtId="0" fontId="18" fillId="0" borderId="8" xfId="0" applyFont="1" applyBorder="1"/>
    <xf numFmtId="0" fontId="21" fillId="0" borderId="19" xfId="0" applyFont="1" applyBorder="1"/>
    <xf numFmtId="0" fontId="18" fillId="0" borderId="1" xfId="0" applyFont="1" applyBorder="1"/>
    <xf numFmtId="0" fontId="18" fillId="0" borderId="20" xfId="0" applyFont="1" applyBorder="1"/>
    <xf numFmtId="0" fontId="18" fillId="0" borderId="81" xfId="0" applyFont="1" applyBorder="1"/>
    <xf numFmtId="44" fontId="16" fillId="0" borderId="0" xfId="6" applyFont="1" applyFill="1" applyBorder="1" applyAlignment="1">
      <alignment horizontal="center"/>
    </xf>
    <xf numFmtId="10" fontId="23" fillId="20" borderId="35" xfId="0" applyNumberFormat="1" applyFont="1" applyFill="1" applyBorder="1" applyAlignment="1">
      <alignment horizontal="center"/>
    </xf>
    <xf numFmtId="10" fontId="18" fillId="0" borderId="0" xfId="0" applyNumberFormat="1" applyFont="1" applyAlignment="1">
      <alignment horizontal="center"/>
    </xf>
    <xf numFmtId="0" fontId="25" fillId="0" borderId="0" xfId="0" applyFont="1"/>
    <xf numFmtId="0" fontId="26" fillId="0" borderId="19" xfId="0" applyFont="1" applyBorder="1" applyAlignment="1">
      <alignment horizontal="center" wrapText="1"/>
    </xf>
    <xf numFmtId="0" fontId="27" fillId="20" borderId="88" xfId="0" applyFont="1" applyFill="1" applyBorder="1" applyAlignment="1">
      <alignment horizontal="center" wrapText="1"/>
    </xf>
    <xf numFmtId="0" fontId="27" fillId="20" borderId="82" xfId="0" applyFont="1" applyFill="1" applyBorder="1" applyAlignment="1">
      <alignment horizontal="center" wrapText="1"/>
    </xf>
    <xf numFmtId="0" fontId="27" fillId="20" borderId="89" xfId="0" applyFont="1" applyFill="1" applyBorder="1" applyAlignment="1">
      <alignment horizontal="center" wrapText="1"/>
    </xf>
    <xf numFmtId="0" fontId="27" fillId="20" borderId="20" xfId="0" applyFont="1" applyFill="1" applyBorder="1" applyAlignment="1">
      <alignment horizontal="center" wrapText="1"/>
    </xf>
    <xf numFmtId="0" fontId="26" fillId="0" borderId="40" xfId="0" applyFont="1" applyBorder="1" applyAlignment="1">
      <alignment horizontal="center" wrapText="1"/>
    </xf>
    <xf numFmtId="0" fontId="28" fillId="0" borderId="40" xfId="0" applyFont="1" applyBorder="1" applyAlignment="1">
      <alignment horizontal="center" wrapText="1"/>
    </xf>
    <xf numFmtId="0" fontId="28" fillId="0" borderId="19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0" fontId="28" fillId="0" borderId="30" xfId="0" applyFont="1" applyBorder="1" applyAlignment="1">
      <alignment horizontal="center"/>
    </xf>
    <xf numFmtId="10" fontId="29" fillId="20" borderId="90" xfId="0" applyNumberFormat="1" applyFont="1" applyFill="1" applyBorder="1" applyAlignment="1">
      <alignment horizontal="center"/>
    </xf>
    <xf numFmtId="44" fontId="28" fillId="0" borderId="34" xfId="6" applyFont="1" applyBorder="1" applyAlignment="1">
      <alignment horizontal="center"/>
    </xf>
    <xf numFmtId="44" fontId="28" fillId="0" borderId="35" xfId="6" applyFont="1" applyBorder="1" applyAlignment="1">
      <alignment horizontal="center"/>
    </xf>
    <xf numFmtId="10" fontId="28" fillId="0" borderId="35" xfId="0" applyNumberFormat="1" applyFont="1" applyBorder="1" applyAlignment="1">
      <alignment horizontal="center"/>
    </xf>
    <xf numFmtId="10" fontId="28" fillId="0" borderId="30" xfId="0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18" fillId="0" borderId="35" xfId="1" applyNumberFormat="1" applyFont="1" applyBorder="1"/>
    <xf numFmtId="10" fontId="29" fillId="20" borderId="82" xfId="0" applyNumberFormat="1" applyFont="1" applyFill="1" applyBorder="1" applyAlignment="1">
      <alignment horizontal="center"/>
    </xf>
    <xf numFmtId="44" fontId="28" fillId="0" borderId="8" xfId="6" applyFont="1" applyBorder="1" applyAlignment="1">
      <alignment horizontal="center"/>
    </xf>
    <xf numFmtId="10" fontId="18" fillId="0" borderId="35" xfId="0" applyNumberFormat="1" applyFont="1" applyBorder="1"/>
    <xf numFmtId="44" fontId="28" fillId="0" borderId="91" xfId="6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7" xfId="0" applyFont="1" applyBorder="1" applyAlignment="1">
      <alignment horizontal="center"/>
    </xf>
    <xf numFmtId="10" fontId="28" fillId="0" borderId="7" xfId="0" applyNumberFormat="1" applyFont="1" applyBorder="1" applyAlignment="1">
      <alignment horizontal="center"/>
    </xf>
    <xf numFmtId="10" fontId="18" fillId="0" borderId="25" xfId="0" applyNumberFormat="1" applyFont="1" applyBorder="1"/>
    <xf numFmtId="44" fontId="28" fillId="0" borderId="25" xfId="6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10" fontId="29" fillId="20" borderId="92" xfId="0" applyNumberFormat="1" applyFont="1" applyFill="1" applyBorder="1" applyAlignment="1">
      <alignment horizontal="center"/>
    </xf>
    <xf numFmtId="44" fontId="28" fillId="0" borderId="10" xfId="6" applyFont="1" applyBorder="1" applyAlignment="1">
      <alignment horizontal="center"/>
    </xf>
    <xf numFmtId="44" fontId="28" fillId="0" borderId="33" xfId="6" applyFont="1" applyBorder="1" applyAlignment="1">
      <alignment horizontal="center"/>
    </xf>
    <xf numFmtId="44" fontId="28" fillId="0" borderId="9" xfId="6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8" fillId="0" borderId="40" xfId="0" applyFont="1" applyBorder="1" applyAlignment="1">
      <alignment horizontal="center"/>
    </xf>
    <xf numFmtId="10" fontId="0" fillId="0" borderId="40" xfId="0" applyNumberFormat="1" applyBorder="1" applyAlignment="1">
      <alignment horizontal="center"/>
    </xf>
    <xf numFmtId="0" fontId="18" fillId="0" borderId="40" xfId="0" applyFont="1" applyBorder="1"/>
    <xf numFmtId="0" fontId="25" fillId="0" borderId="19" xfId="0" applyFont="1" applyBorder="1" applyAlignment="1">
      <alignment horizontal="center"/>
    </xf>
    <xf numFmtId="0" fontId="11" fillId="0" borderId="40" xfId="0" applyFont="1" applyBorder="1" applyAlignment="1">
      <alignment horizontal="center" wrapText="1"/>
    </xf>
    <xf numFmtId="0" fontId="18" fillId="0" borderId="35" xfId="0" applyFont="1" applyBorder="1" applyAlignment="1">
      <alignment horizontal="center"/>
    </xf>
    <xf numFmtId="10" fontId="18" fillId="0" borderId="35" xfId="0" applyNumberFormat="1" applyFont="1" applyBorder="1" applyAlignment="1">
      <alignment horizontal="center"/>
    </xf>
    <xf numFmtId="0" fontId="30" fillId="0" borderId="0" xfId="0" applyFont="1"/>
    <xf numFmtId="10" fontId="18" fillId="0" borderId="40" xfId="1" applyNumberFormat="1" applyFont="1" applyBorder="1" applyAlignment="1">
      <alignment horizontal="center"/>
    </xf>
    <xf numFmtId="10" fontId="18" fillId="0" borderId="0" xfId="1" applyNumberFormat="1" applyFont="1" applyBorder="1" applyAlignment="1">
      <alignment horizontal="center"/>
    </xf>
    <xf numFmtId="0" fontId="18" fillId="0" borderId="35" xfId="0" applyFont="1" applyBorder="1"/>
    <xf numFmtId="10" fontId="18" fillId="0" borderId="35" xfId="1" applyNumberFormat="1" applyFont="1" applyBorder="1" applyAlignment="1">
      <alignment horizontal="center"/>
    </xf>
    <xf numFmtId="10" fontId="18" fillId="0" borderId="0" xfId="0" applyNumberFormat="1" applyFont="1"/>
    <xf numFmtId="189" fontId="22" fillId="20" borderId="35" xfId="6" applyNumberFormat="1" applyFont="1" applyFill="1" applyBorder="1" applyAlignment="1">
      <alignment horizontal="center"/>
    </xf>
    <xf numFmtId="0" fontId="33" fillId="10" borderId="21" xfId="0" applyFont="1" applyFill="1" applyBorder="1"/>
    <xf numFmtId="2" fontId="0" fillId="0" borderId="0" xfId="0" applyNumberFormat="1"/>
    <xf numFmtId="0" fontId="33" fillId="10" borderId="29" xfId="0" applyFont="1" applyFill="1" applyBorder="1"/>
    <xf numFmtId="2" fontId="11" fillId="0" borderId="0" xfId="0" applyNumberFormat="1" applyFont="1"/>
    <xf numFmtId="0" fontId="33" fillId="10" borderId="37" xfId="0" applyFont="1" applyFill="1" applyBorder="1"/>
    <xf numFmtId="2" fontId="0" fillId="0" borderId="0" xfId="0" applyNumberFormat="1" applyAlignment="1">
      <alignment horizontal="center"/>
    </xf>
    <xf numFmtId="0" fontId="0" fillId="2" borderId="35" xfId="0" applyFill="1" applyBorder="1" applyAlignment="1">
      <alignment horizontal="center"/>
    </xf>
    <xf numFmtId="0" fontId="36" fillId="0" borderId="0" xfId="0" applyFont="1" applyAlignment="1">
      <alignment horizontal="left"/>
    </xf>
    <xf numFmtId="10" fontId="37" fillId="0" borderId="0" xfId="1" applyNumberFormat="1" applyFont="1" applyAlignment="1">
      <alignment horizontal="center"/>
    </xf>
    <xf numFmtId="10" fontId="0" fillId="2" borderId="35" xfId="0" applyNumberFormat="1" applyFill="1" applyBorder="1" applyAlignment="1">
      <alignment horizontal="center"/>
    </xf>
    <xf numFmtId="0" fontId="39" fillId="0" borderId="35" xfId="0" applyFont="1" applyBorder="1" applyAlignment="1">
      <alignment wrapText="1"/>
    </xf>
    <xf numFmtId="0" fontId="39" fillId="0" borderId="35" xfId="0" applyFont="1" applyBorder="1" applyAlignment="1">
      <alignment horizontal="center" wrapText="1"/>
    </xf>
    <xf numFmtId="2" fontId="39" fillId="0" borderId="35" xfId="0" applyNumberFormat="1" applyFont="1" applyBorder="1" applyAlignment="1">
      <alignment horizontal="center" wrapText="1"/>
    </xf>
    <xf numFmtId="10" fontId="39" fillId="0" borderId="35" xfId="1" applyNumberFormat="1" applyFont="1" applyBorder="1" applyAlignment="1">
      <alignment horizontal="center" wrapText="1"/>
    </xf>
    <xf numFmtId="0" fontId="39" fillId="0" borderId="40" xfId="0" applyFont="1" applyBorder="1" applyAlignment="1">
      <alignment horizontal="center" wrapText="1"/>
    </xf>
    <xf numFmtId="2" fontId="39" fillId="0" borderId="40" xfId="0" applyNumberFormat="1" applyFont="1" applyBorder="1" applyAlignment="1">
      <alignment horizontal="center" wrapText="1"/>
    </xf>
    <xf numFmtId="0" fontId="0" fillId="0" borderId="35" xfId="0" applyBorder="1"/>
    <xf numFmtId="2" fontId="0" fillId="0" borderId="35" xfId="0" applyNumberFormat="1" applyBorder="1" applyAlignment="1">
      <alignment horizontal="center"/>
    </xf>
    <xf numFmtId="190" fontId="0" fillId="0" borderId="35" xfId="0" applyNumberFormat="1" applyBorder="1" applyAlignment="1">
      <alignment horizontal="center"/>
    </xf>
    <xf numFmtId="10" fontId="37" fillId="0" borderId="35" xfId="1" applyNumberFormat="1" applyFont="1" applyBorder="1" applyAlignment="1">
      <alignment horizontal="center"/>
    </xf>
    <xf numFmtId="2" fontId="11" fillId="0" borderId="35" xfId="0" applyNumberFormat="1" applyFont="1" applyBorder="1" applyAlignment="1">
      <alignment horizontal="center"/>
    </xf>
    <xf numFmtId="179" fontId="4" fillId="0" borderId="10" xfId="0" applyNumberFormat="1" applyFont="1" applyBorder="1"/>
    <xf numFmtId="169" fontId="4" fillId="0" borderId="10" xfId="0" applyNumberFormat="1" applyFont="1" applyBorder="1"/>
    <xf numFmtId="0" fontId="25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30" fillId="0" borderId="93" xfId="0" applyFont="1" applyBorder="1" applyAlignment="1">
      <alignment horizontal="center"/>
    </xf>
    <xf numFmtId="0" fontId="0" fillId="0" borderId="94" xfId="0" applyBorder="1" applyAlignment="1">
      <alignment horizontal="center"/>
    </xf>
    <xf numFmtId="0" fontId="30" fillId="0" borderId="94" xfId="0" applyFont="1" applyBorder="1" applyAlignment="1">
      <alignment horizontal="center"/>
    </xf>
    <xf numFmtId="0" fontId="30" fillId="0" borderId="95" xfId="0" applyFont="1" applyBorder="1" applyAlignment="1">
      <alignment horizontal="center"/>
    </xf>
    <xf numFmtId="0" fontId="25" fillId="0" borderId="84" xfId="0" applyFont="1" applyBorder="1" applyAlignment="1">
      <alignment horizontal="center"/>
    </xf>
    <xf numFmtId="15" fontId="13" fillId="18" borderId="22" xfId="0" applyNumberFormat="1" applyFont="1" applyFill="1" applyBorder="1" applyAlignment="1">
      <alignment horizontal="left"/>
    </xf>
    <xf numFmtId="15" fontId="13" fillId="18" borderId="23" xfId="0" applyNumberFormat="1" applyFont="1" applyFill="1" applyBorder="1" applyAlignment="1">
      <alignment horizontal="left"/>
    </xf>
    <xf numFmtId="15" fontId="13" fillId="18" borderId="24" xfId="0" applyNumberFormat="1" applyFont="1" applyFill="1" applyBorder="1" applyAlignment="1">
      <alignment horizontal="left"/>
    </xf>
    <xf numFmtId="0" fontId="10" fillId="18" borderId="30" xfId="4" applyFill="1" applyBorder="1" applyAlignment="1" applyProtection="1">
      <alignment horizontal="left"/>
    </xf>
    <xf numFmtId="0" fontId="10" fillId="18" borderId="31" xfId="4" applyFill="1" applyBorder="1" applyAlignment="1" applyProtection="1">
      <alignment horizontal="left"/>
    </xf>
    <xf numFmtId="0" fontId="10" fillId="18" borderId="32" xfId="4" applyFill="1" applyBorder="1" applyAlignment="1" applyProtection="1">
      <alignment horizontal="left"/>
    </xf>
    <xf numFmtId="0" fontId="15" fillId="18" borderId="30" xfId="0" applyFont="1" applyFill="1" applyBorder="1" applyAlignment="1">
      <alignment horizontal="left"/>
    </xf>
    <xf numFmtId="0" fontId="15" fillId="18" borderId="31" xfId="0" applyFont="1" applyFill="1" applyBorder="1" applyAlignment="1">
      <alignment horizontal="left"/>
    </xf>
    <xf numFmtId="0" fontId="15" fillId="18" borderId="34" xfId="0" applyFont="1" applyFill="1" applyBorder="1" applyAlignment="1">
      <alignment horizontal="left"/>
    </xf>
    <xf numFmtId="0" fontId="15" fillId="18" borderId="32" xfId="0" applyFont="1" applyFill="1" applyBorder="1" applyAlignment="1">
      <alignment horizontal="left"/>
    </xf>
    <xf numFmtId="15" fontId="10" fillId="18" borderId="30" xfId="4" applyNumberFormat="1" applyFill="1" applyBorder="1" applyAlignment="1" applyProtection="1">
      <alignment horizontal="left"/>
    </xf>
    <xf numFmtId="15" fontId="10" fillId="18" borderId="31" xfId="4" applyNumberFormat="1" applyFill="1" applyBorder="1" applyAlignment="1" applyProtection="1">
      <alignment horizontal="left"/>
    </xf>
    <xf numFmtId="15" fontId="10" fillId="18" borderId="32" xfId="4" applyNumberFormat="1" applyFill="1" applyBorder="1" applyAlignment="1" applyProtection="1">
      <alignment horizontal="left"/>
    </xf>
    <xf numFmtId="0" fontId="10" fillId="18" borderId="30" xfId="4" applyFill="1" applyBorder="1" applyAlignment="1" applyProtection="1"/>
    <xf numFmtId="0" fontId="10" fillId="18" borderId="31" xfId="4" applyFill="1" applyBorder="1" applyAlignment="1" applyProtection="1"/>
    <xf numFmtId="0" fontId="10" fillId="18" borderId="32" xfId="4" applyFill="1" applyBorder="1" applyAlignment="1" applyProtection="1"/>
    <xf numFmtId="0" fontId="10" fillId="18" borderId="78" xfId="4" applyFill="1" applyBorder="1" applyAlignment="1" applyProtection="1">
      <alignment horizontal="left"/>
    </xf>
    <xf numFmtId="0" fontId="10" fillId="18" borderId="79" xfId="4" applyFill="1" applyBorder="1" applyAlignment="1" applyProtection="1">
      <alignment horizontal="left"/>
    </xf>
    <xf numFmtId="0" fontId="10" fillId="18" borderId="80" xfId="4" applyFill="1" applyBorder="1" applyAlignment="1" applyProtection="1">
      <alignment horizontal="left"/>
    </xf>
    <xf numFmtId="0" fontId="24" fillId="20" borderId="82" xfId="0" applyFont="1" applyFill="1" applyBorder="1" applyAlignment="1">
      <alignment horizontal="center"/>
    </xf>
    <xf numFmtId="0" fontId="25" fillId="0" borderId="83" xfId="0" applyFont="1" applyBorder="1" applyAlignment="1">
      <alignment horizontal="center"/>
    </xf>
    <xf numFmtId="0" fontId="25" fillId="0" borderId="85" xfId="0" applyFont="1" applyBorder="1" applyAlignment="1">
      <alignment horizontal="center"/>
    </xf>
    <xf numFmtId="0" fontId="25" fillId="0" borderId="86" xfId="0" applyFont="1" applyBorder="1" applyAlignment="1">
      <alignment horizontal="center"/>
    </xf>
    <xf numFmtId="0" fontId="25" fillId="0" borderId="87" xfId="0" applyFont="1" applyBorder="1" applyAlignment="1">
      <alignment horizontal="center"/>
    </xf>
    <xf numFmtId="0" fontId="10" fillId="10" borderId="7" xfId="4" applyFill="1" applyBorder="1" applyAlignment="1">
      <alignment horizontal="left"/>
    </xf>
    <xf numFmtId="0" fontId="10" fillId="10" borderId="38" xfId="4" applyFill="1" applyBorder="1" applyAlignment="1">
      <alignment horizontal="left"/>
    </xf>
    <xf numFmtId="0" fontId="38" fillId="0" borderId="44" xfId="0" applyFont="1" applyBorder="1" applyAlignment="1">
      <alignment horizontal="center"/>
    </xf>
    <xf numFmtId="0" fontId="38" fillId="0" borderId="45" xfId="0" applyFont="1" applyBorder="1" applyAlignment="1">
      <alignment horizontal="center"/>
    </xf>
    <xf numFmtId="0" fontId="38" fillId="0" borderId="46" xfId="0" applyFont="1" applyBorder="1" applyAlignment="1">
      <alignment horizontal="center"/>
    </xf>
    <xf numFmtId="15" fontId="34" fillId="10" borderId="22" xfId="0" applyNumberFormat="1" applyFont="1" applyFill="1" applyBorder="1" applyAlignment="1">
      <alignment horizontal="left"/>
    </xf>
    <xf numFmtId="15" fontId="34" fillId="10" borderId="23" xfId="0" applyNumberFormat="1" applyFont="1" applyFill="1" applyBorder="1" applyAlignment="1">
      <alignment horizontal="left"/>
    </xf>
    <xf numFmtId="0" fontId="35" fillId="11" borderId="25" xfId="4" applyFont="1" applyFill="1" applyBorder="1" applyAlignment="1">
      <alignment horizontal="center" vertical="center" wrapText="1"/>
    </xf>
    <xf numFmtId="0" fontId="35" fillId="11" borderId="33" xfId="4" applyFont="1" applyFill="1" applyBorder="1" applyAlignment="1">
      <alignment horizontal="center" vertical="center" wrapText="1"/>
    </xf>
    <xf numFmtId="0" fontId="35" fillId="11" borderId="40" xfId="4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0" fillId="10" borderId="30" xfId="4" applyFill="1" applyBorder="1" applyAlignment="1">
      <alignment horizontal="left"/>
    </xf>
    <xf numFmtId="0" fontId="10" fillId="10" borderId="31" xfId="4" applyFill="1" applyBorder="1" applyAlignment="1">
      <alignment horizontal="left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28" fillId="10" borderId="30" xfId="0" applyFont="1" applyFill="1" applyBorder="1" applyAlignment="1">
      <alignment horizontal="left"/>
    </xf>
    <xf numFmtId="0" fontId="28" fillId="10" borderId="31" xfId="0" applyFont="1" applyFill="1" applyBorder="1" applyAlignment="1">
      <alignment horizontal="left"/>
    </xf>
    <xf numFmtId="0" fontId="28" fillId="10" borderId="34" xfId="0" applyFont="1" applyFill="1" applyBorder="1" applyAlignment="1">
      <alignment horizontal="left"/>
    </xf>
    <xf numFmtId="15" fontId="10" fillId="10" borderId="30" xfId="4" applyNumberFormat="1" applyFill="1" applyBorder="1" applyAlignment="1">
      <alignment horizontal="left"/>
    </xf>
    <xf numFmtId="15" fontId="10" fillId="10" borderId="31" xfId="4" applyNumberFormat="1" applyFill="1" applyBorder="1" applyAlignment="1">
      <alignment horizontal="left"/>
    </xf>
    <xf numFmtId="0" fontId="10" fillId="10" borderId="30" xfId="4" applyFill="1" applyBorder="1"/>
    <xf numFmtId="0" fontId="10" fillId="10" borderId="31" xfId="4" applyFill="1" applyBorder="1"/>
    <xf numFmtId="17" fontId="45" fillId="4" borderId="0" xfId="0" applyNumberFormat="1" applyFont="1" applyFill="1" applyAlignment="1">
      <alignment horizontal="center"/>
    </xf>
    <xf numFmtId="0" fontId="46" fillId="0" borderId="1" xfId="0" applyFont="1" applyBorder="1"/>
    <xf numFmtId="0" fontId="45" fillId="0" borderId="1" xfId="0" applyFont="1" applyBorder="1"/>
    <xf numFmtId="0" fontId="47" fillId="0" borderId="0" xfId="0" applyFont="1"/>
    <xf numFmtId="0" fontId="48" fillId="0" borderId="0" xfId="0" applyFont="1" applyAlignment="1">
      <alignment horizontal="left" indent="1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right"/>
    </xf>
    <xf numFmtId="0" fontId="47" fillId="0" borderId="0" xfId="0" applyFont="1" applyAlignment="1">
      <alignment horizontal="left" indent="1"/>
    </xf>
    <xf numFmtId="166" fontId="50" fillId="0" borderId="0" xfId="0" applyNumberFormat="1" applyFont="1"/>
    <xf numFmtId="166" fontId="47" fillId="0" borderId="0" xfId="0" applyNumberFormat="1" applyFont="1"/>
    <xf numFmtId="166" fontId="49" fillId="0" borderId="0" xfId="0" applyNumberFormat="1" applyFont="1" applyAlignment="1">
      <alignment horizontal="center"/>
    </xf>
    <xf numFmtId="166" fontId="51" fillId="0" borderId="0" xfId="0" applyNumberFormat="1" applyFont="1" applyAlignment="1">
      <alignment horizontal="right" indent="1"/>
    </xf>
    <xf numFmtId="176" fontId="51" fillId="0" borderId="0" xfId="0" applyNumberFormat="1" applyFont="1" applyAlignment="1">
      <alignment horizontal="right" indent="1"/>
    </xf>
    <xf numFmtId="166" fontId="50" fillId="0" borderId="0" xfId="0" applyNumberFormat="1" applyFont="1" applyAlignment="1">
      <alignment horizontal="left" indent="1"/>
    </xf>
    <xf numFmtId="177" fontId="50" fillId="0" borderId="0" xfId="0" applyNumberFormat="1" applyFont="1" applyAlignment="1">
      <alignment horizontal="left" indent="1"/>
    </xf>
    <xf numFmtId="176" fontId="52" fillId="0" borderId="0" xfId="0" applyNumberFormat="1" applyFont="1" applyAlignment="1">
      <alignment horizontal="left" indent="1"/>
    </xf>
    <xf numFmtId="176" fontId="53" fillId="0" borderId="0" xfId="0" applyNumberFormat="1" applyFont="1"/>
    <xf numFmtId="166" fontId="54" fillId="0" borderId="0" xfId="0" applyNumberFormat="1" applyFont="1"/>
    <xf numFmtId="0" fontId="48" fillId="0" borderId="0" xfId="0" applyFont="1" applyAlignment="1">
      <alignment horizontal="left" wrapText="1" indent="1"/>
    </xf>
    <xf numFmtId="0" fontId="51" fillId="0" borderId="0" xfId="0" applyFont="1" applyAlignment="1">
      <alignment horizontal="center"/>
    </xf>
    <xf numFmtId="171" fontId="54" fillId="0" borderId="0" xfId="0" applyNumberFormat="1" applyFont="1" applyAlignment="1">
      <alignment horizontal="right" vertical="center"/>
    </xf>
    <xf numFmtId="0" fontId="46" fillId="0" borderId="0" xfId="0" applyFont="1" applyAlignment="1">
      <alignment horizontal="left" wrapText="1" indent="1"/>
    </xf>
    <xf numFmtId="0" fontId="55" fillId="0" borderId="0" xfId="0" applyFont="1" applyAlignment="1">
      <alignment horizontal="center"/>
    </xf>
    <xf numFmtId="171" fontId="46" fillId="0" borderId="0" xfId="0" applyNumberFormat="1" applyFont="1" applyAlignment="1">
      <alignment horizontal="right" vertical="center"/>
    </xf>
    <xf numFmtId="176" fontId="47" fillId="0" borderId="0" xfId="0" applyNumberFormat="1" applyFont="1"/>
    <xf numFmtId="180" fontId="50" fillId="0" borderId="0" xfId="0" applyNumberFormat="1" applyFont="1"/>
    <xf numFmtId="180" fontId="54" fillId="0" borderId="0" xfId="0" applyNumberFormat="1" applyFont="1"/>
    <xf numFmtId="0" fontId="46" fillId="0" borderId="0" xfId="0" applyFont="1"/>
    <xf numFmtId="175" fontId="50" fillId="0" borderId="0" xfId="0" applyNumberFormat="1" applyFont="1"/>
    <xf numFmtId="175" fontId="47" fillId="0" borderId="0" xfId="0" applyNumberFormat="1" applyFont="1"/>
    <xf numFmtId="0" fontId="48" fillId="0" borderId="2" xfId="0" applyFont="1" applyBorder="1" applyAlignment="1">
      <alignment horizontal="left" indent="1"/>
    </xf>
    <xf numFmtId="0" fontId="49" fillId="0" borderId="2" xfId="0" applyFont="1" applyBorder="1" applyAlignment="1">
      <alignment horizontal="center"/>
    </xf>
    <xf numFmtId="175" fontId="50" fillId="0" borderId="2" xfId="0" applyNumberFormat="1" applyFont="1" applyBorder="1"/>
    <xf numFmtId="0" fontId="46" fillId="0" borderId="0" xfId="0" applyFont="1" applyAlignment="1">
      <alignment horizontal="left"/>
    </xf>
    <xf numFmtId="0" fontId="56" fillId="0" borderId="0" xfId="0" applyFont="1" applyAlignment="1">
      <alignment horizontal="center"/>
    </xf>
    <xf numFmtId="175" fontId="45" fillId="0" borderId="0" xfId="0" applyNumberFormat="1" applyFont="1"/>
    <xf numFmtId="0" fontId="57" fillId="0" borderId="0" xfId="0" applyFont="1"/>
    <xf numFmtId="176" fontId="50" fillId="0" borderId="0" xfId="0" applyNumberFormat="1" applyFont="1"/>
    <xf numFmtId="3" fontId="47" fillId="0" borderId="0" xfId="0" applyNumberFormat="1" applyFont="1"/>
    <xf numFmtId="0" fontId="47" fillId="0" borderId="2" xfId="0" applyFont="1" applyBorder="1" applyAlignment="1">
      <alignment horizontal="left" indent="1"/>
    </xf>
    <xf numFmtId="175" fontId="54" fillId="0" borderId="2" xfId="0" applyNumberFormat="1" applyFont="1" applyBorder="1"/>
    <xf numFmtId="176" fontId="46" fillId="0" borderId="0" xfId="0" applyNumberFormat="1" applyFont="1"/>
    <xf numFmtId="176" fontId="57" fillId="0" borderId="0" xfId="0" applyNumberFormat="1" applyFont="1"/>
    <xf numFmtId="176" fontId="48" fillId="0" borderId="0" xfId="0" applyNumberFormat="1" applyFont="1"/>
    <xf numFmtId="176" fontId="58" fillId="0" borderId="2" xfId="0" applyNumberFormat="1" applyFont="1" applyBorder="1"/>
    <xf numFmtId="176" fontId="58" fillId="0" borderId="0" xfId="0" applyNumberFormat="1" applyFont="1"/>
    <xf numFmtId="175" fontId="48" fillId="0" borderId="0" xfId="0" applyNumberFormat="1" applyFont="1"/>
    <xf numFmtId="166" fontId="48" fillId="0" borderId="0" xfId="0" applyNumberFormat="1" applyFont="1"/>
    <xf numFmtId="166" fontId="47" fillId="0" borderId="0" xfId="0" applyNumberFormat="1" applyFont="1" applyAlignment="1">
      <alignment horizontal="left" indent="1"/>
    </xf>
    <xf numFmtId="166" fontId="57" fillId="0" borderId="0" xfId="0" applyNumberFormat="1" applyFont="1"/>
    <xf numFmtId="175" fontId="54" fillId="0" borderId="0" xfId="0" applyNumberFormat="1" applyFont="1"/>
    <xf numFmtId="0" fontId="54" fillId="0" borderId="0" xfId="0" applyFont="1"/>
    <xf numFmtId="3" fontId="54" fillId="0" borderId="0" xfId="0" applyNumberFormat="1" applyFont="1"/>
    <xf numFmtId="3" fontId="48" fillId="0" borderId="0" xfId="0" applyNumberFormat="1" applyFont="1"/>
    <xf numFmtId="186" fontId="59" fillId="0" borderId="0" xfId="0" applyNumberFormat="1" applyFont="1"/>
    <xf numFmtId="176" fontId="54" fillId="0" borderId="0" xfId="0" applyNumberFormat="1" applyFont="1"/>
    <xf numFmtId="175" fontId="60" fillId="0" borderId="0" xfId="0" applyNumberFormat="1" applyFont="1" applyAlignment="1">
      <alignment horizontal="right"/>
    </xf>
    <xf numFmtId="183" fontId="54" fillId="0" borderId="0" xfId="0" applyNumberFormat="1" applyFont="1" applyAlignment="1">
      <alignment wrapText="1"/>
    </xf>
    <xf numFmtId="179" fontId="54" fillId="0" borderId="0" xfId="0" applyNumberFormat="1" applyFont="1"/>
    <xf numFmtId="166" fontId="60" fillId="0" borderId="0" xfId="0" applyNumberFormat="1" applyFont="1" applyAlignment="1">
      <alignment horizontal="right"/>
    </xf>
    <xf numFmtId="168" fontId="48" fillId="0" borderId="0" xfId="0" applyNumberFormat="1" applyFont="1"/>
    <xf numFmtId="176" fontId="52" fillId="0" borderId="0" xfId="0" applyNumberFormat="1" applyFont="1"/>
    <xf numFmtId="177" fontId="54" fillId="0" borderId="0" xfId="0" applyNumberFormat="1" applyFont="1"/>
    <xf numFmtId="0" fontId="61" fillId="0" borderId="0" xfId="0" applyFont="1"/>
    <xf numFmtId="166" fontId="60" fillId="0" borderId="0" xfId="0" applyNumberFormat="1" applyFont="1"/>
    <xf numFmtId="175" fontId="60" fillId="0" borderId="0" xfId="0" applyNumberFormat="1" applyFont="1"/>
    <xf numFmtId="166" fontId="61" fillId="0" borderId="0" xfId="0" applyNumberFormat="1" applyFont="1"/>
    <xf numFmtId="179" fontId="62" fillId="0" borderId="0" xfId="0" applyNumberFormat="1" applyFont="1" applyAlignment="1">
      <alignment horizontal="center"/>
    </xf>
    <xf numFmtId="179" fontId="60" fillId="0" borderId="0" xfId="0" applyNumberFormat="1" applyFont="1" applyAlignment="1">
      <alignment horizontal="center"/>
    </xf>
    <xf numFmtId="0" fontId="63" fillId="0" borderId="2" xfId="0" applyFont="1" applyBorder="1" applyAlignment="1">
      <alignment horizontal="left"/>
    </xf>
    <xf numFmtId="0" fontId="64" fillId="0" borderId="0" xfId="0" applyFont="1"/>
    <xf numFmtId="0" fontId="65" fillId="0" borderId="0" xfId="0" applyFont="1" applyAlignment="1">
      <alignment horizontal="left" vertical="center"/>
    </xf>
    <xf numFmtId="15" fontId="44" fillId="0" borderId="0" xfId="0" applyNumberFormat="1" applyFont="1" applyAlignment="1">
      <alignment horizontal="left" vertical="center"/>
    </xf>
    <xf numFmtId="0" fontId="65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66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0" fillId="2" borderId="0" xfId="0" applyFont="1" applyFill="1" applyAlignment="1">
      <alignment horizontal="left" vertical="center"/>
    </xf>
    <xf numFmtId="0" fontId="67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61" fillId="0" borderId="0" xfId="0" applyFont="1" applyAlignment="1">
      <alignment horizontal="center"/>
    </xf>
    <xf numFmtId="17" fontId="68" fillId="4" borderId="0" xfId="0" applyNumberFormat="1" applyFont="1" applyFill="1" applyAlignment="1">
      <alignment horizontal="center"/>
    </xf>
    <xf numFmtId="0" fontId="51" fillId="0" borderId="0" xfId="0" applyFont="1" applyAlignment="1">
      <alignment horizontal="left"/>
    </xf>
    <xf numFmtId="0" fontId="69" fillId="0" borderId="0" xfId="0" applyFont="1"/>
    <xf numFmtId="0" fontId="47" fillId="0" borderId="0" xfId="0" applyFont="1" applyAlignment="1">
      <alignment horizontal="right"/>
    </xf>
    <xf numFmtId="0" fontId="47" fillId="0" borderId="0" xfId="0" applyFont="1" applyAlignment="1">
      <alignment horizontal="left"/>
    </xf>
    <xf numFmtId="166" fontId="60" fillId="0" borderId="0" xfId="0" applyNumberFormat="1" applyFont="1" applyAlignment="1">
      <alignment horizontal="right" indent="1"/>
    </xf>
    <xf numFmtId="176" fontId="60" fillId="0" borderId="0" xfId="0" applyNumberFormat="1" applyFont="1" applyAlignment="1">
      <alignment horizontal="right" indent="1"/>
    </xf>
    <xf numFmtId="176" fontId="59" fillId="0" borderId="0" xfId="0" applyNumberFormat="1" applyFont="1"/>
    <xf numFmtId="0" fontId="57" fillId="0" borderId="2" xfId="0" applyFont="1" applyBorder="1" applyAlignment="1">
      <alignment horizontal="left"/>
    </xf>
    <xf numFmtId="0" fontId="47" fillId="0" borderId="2" xfId="0" applyFont="1" applyBorder="1" applyAlignment="1">
      <alignment horizontal="centerContinuous"/>
    </xf>
    <xf numFmtId="0" fontId="57" fillId="0" borderId="0" xfId="0" applyFont="1" applyAlignment="1">
      <alignment horizontal="left"/>
    </xf>
    <xf numFmtId="0" fontId="47" fillId="0" borderId="0" xfId="0" applyFont="1" applyAlignment="1">
      <alignment horizontal="centerContinuous"/>
    </xf>
    <xf numFmtId="0" fontId="61" fillId="0" borderId="0" xfId="0" applyFont="1" applyAlignment="1">
      <alignment horizontal="left" vertical="center"/>
    </xf>
    <xf numFmtId="15" fontId="51" fillId="0" borderId="0" xfId="0" applyNumberFormat="1" applyFont="1" applyAlignment="1">
      <alignment horizontal="right"/>
    </xf>
    <xf numFmtId="0" fontId="61" fillId="0" borderId="0" xfId="0" applyFont="1" applyAlignment="1">
      <alignment horizontal="center" vertical="center"/>
    </xf>
    <xf numFmtId="0" fontId="70" fillId="5" borderId="7" xfId="0" applyFont="1" applyFill="1" applyBorder="1" applyAlignment="1">
      <alignment vertical="center"/>
    </xf>
    <xf numFmtId="0" fontId="70" fillId="5" borderId="38" xfId="0" applyFont="1" applyFill="1" applyBorder="1" applyAlignment="1">
      <alignment vertical="center"/>
    </xf>
    <xf numFmtId="0" fontId="70" fillId="5" borderId="96" xfId="0" applyFont="1" applyFill="1" applyBorder="1" applyAlignment="1">
      <alignment horizontal="center" vertical="center"/>
    </xf>
    <xf numFmtId="0" fontId="71" fillId="5" borderId="38" xfId="0" applyFont="1" applyFill="1" applyBorder="1" applyAlignment="1">
      <alignment horizontal="centerContinuous" vertical="center"/>
    </xf>
    <xf numFmtId="0" fontId="70" fillId="5" borderId="97" xfId="0" applyFont="1" applyFill="1" applyBorder="1" applyAlignment="1">
      <alignment horizontal="center" vertical="center"/>
    </xf>
    <xf numFmtId="0" fontId="47" fillId="0" borderId="0" xfId="0" applyFont="1" applyAlignment="1">
      <alignment vertical="center"/>
    </xf>
    <xf numFmtId="0" fontId="72" fillId="5" borderId="19" xfId="0" applyFont="1" applyFill="1" applyBorder="1" applyAlignment="1">
      <alignment vertical="center"/>
    </xf>
    <xf numFmtId="0" fontId="71" fillId="5" borderId="1" xfId="0" applyFont="1" applyFill="1" applyBorder="1" applyAlignment="1">
      <alignment horizontal="center" vertical="center"/>
    </xf>
    <xf numFmtId="0" fontId="71" fillId="5" borderId="98" xfId="0" quotePrefix="1" applyFont="1" applyFill="1" applyBorder="1" applyAlignment="1">
      <alignment horizontal="center" vertical="center"/>
    </xf>
    <xf numFmtId="0" fontId="71" fillId="5" borderId="99" xfId="0" quotePrefix="1" applyFont="1" applyFill="1" applyBorder="1" applyAlignment="1">
      <alignment horizontal="center" vertical="center"/>
    </xf>
    <xf numFmtId="172" fontId="47" fillId="0" borderId="0" xfId="0" applyNumberFormat="1" applyFont="1" applyAlignment="1">
      <alignment vertical="center"/>
    </xf>
    <xf numFmtId="173" fontId="47" fillId="0" borderId="0" xfId="0" applyNumberFormat="1" applyFont="1" applyAlignment="1">
      <alignment vertical="center"/>
    </xf>
    <xf numFmtId="0" fontId="47" fillId="0" borderId="69" xfId="0" applyFont="1" applyBorder="1"/>
    <xf numFmtId="0" fontId="61" fillId="0" borderId="73" xfId="0" applyFont="1" applyBorder="1"/>
    <xf numFmtId="0" fontId="47" fillId="0" borderId="73" xfId="0" applyFont="1" applyBorder="1"/>
    <xf numFmtId="0" fontId="47" fillId="0" borderId="70" xfId="0" applyFont="1" applyBorder="1" applyAlignment="1">
      <alignment horizontal="left" indent="1"/>
    </xf>
    <xf numFmtId="176" fontId="47" fillId="0" borderId="71" xfId="0" applyNumberFormat="1" applyFont="1" applyBorder="1"/>
    <xf numFmtId="166" fontId="61" fillId="0" borderId="72" xfId="0" applyNumberFormat="1" applyFont="1" applyBorder="1"/>
    <xf numFmtId="0" fontId="47" fillId="0" borderId="2" xfId="0" applyFont="1" applyBorder="1"/>
    <xf numFmtId="168" fontId="47" fillId="0" borderId="2" xfId="0" applyNumberFormat="1" applyFont="1" applyBorder="1"/>
    <xf numFmtId="176" fontId="47" fillId="0" borderId="2" xfId="0" applyNumberFormat="1" applyFont="1" applyBorder="1"/>
    <xf numFmtId="0" fontId="57" fillId="0" borderId="69" xfId="0" applyFont="1" applyBorder="1" applyAlignment="1">
      <alignment horizontal="left"/>
    </xf>
    <xf numFmtId="166" fontId="73" fillId="0" borderId="73" xfId="0" applyNumberFormat="1" applyFont="1" applyBorder="1"/>
    <xf numFmtId="168" fontId="47" fillId="0" borderId="71" xfId="0" applyNumberFormat="1" applyFont="1" applyBorder="1"/>
    <xf numFmtId="0" fontId="61" fillId="0" borderId="72" xfId="0" applyFont="1" applyBorder="1"/>
    <xf numFmtId="166" fontId="61" fillId="0" borderId="72" xfId="0" applyNumberFormat="1" applyFont="1" applyBorder="1" applyAlignment="1">
      <alignment horizontal="right"/>
    </xf>
    <xf numFmtId="0" fontId="57" fillId="0" borderId="69" xfId="0" applyFont="1" applyBorder="1"/>
    <xf numFmtId="166" fontId="61" fillId="0" borderId="73" xfId="0" applyNumberFormat="1" applyFont="1" applyBorder="1"/>
    <xf numFmtId="0" fontId="61" fillId="0" borderId="69" xfId="0" applyFont="1" applyBorder="1" applyAlignment="1">
      <alignment horizontal="left"/>
    </xf>
    <xf numFmtId="166" fontId="57" fillId="0" borderId="73" xfId="0" applyNumberFormat="1" applyFont="1" applyBorder="1"/>
    <xf numFmtId="172" fontId="47" fillId="0" borderId="0" xfId="0" applyNumberFormat="1" applyFont="1"/>
    <xf numFmtId="0" fontId="47" fillId="0" borderId="69" xfId="0" applyFont="1" applyBorder="1" applyAlignment="1">
      <alignment horizontal="left"/>
    </xf>
    <xf numFmtId="166" fontId="47" fillId="0" borderId="73" xfId="0" applyNumberFormat="1" applyFont="1" applyBorder="1"/>
    <xf numFmtId="0" fontId="47" fillId="0" borderId="69" xfId="0" applyFont="1" applyBorder="1" applyAlignment="1">
      <alignment horizontal="left" indent="1"/>
    </xf>
    <xf numFmtId="166" fontId="73" fillId="0" borderId="69" xfId="0" applyNumberFormat="1" applyFont="1" applyBorder="1" applyAlignment="1">
      <alignment horizontal="left"/>
    </xf>
    <xf numFmtId="176" fontId="73" fillId="0" borderId="73" xfId="0" applyNumberFormat="1" applyFont="1" applyBorder="1"/>
    <xf numFmtId="166" fontId="61" fillId="0" borderId="69" xfId="0" applyNumberFormat="1" applyFont="1" applyBorder="1" applyAlignment="1">
      <alignment horizontal="left"/>
    </xf>
    <xf numFmtId="176" fontId="57" fillId="0" borderId="73" xfId="0" applyNumberFormat="1" applyFont="1" applyBorder="1"/>
    <xf numFmtId="166" fontId="73" fillId="0" borderId="74" xfId="0" applyNumberFormat="1" applyFont="1" applyBorder="1" applyAlignment="1">
      <alignment horizontal="left"/>
    </xf>
    <xf numFmtId="166" fontId="73" fillId="17" borderId="75" xfId="0" applyNumberFormat="1" applyFont="1" applyFill="1" applyBorder="1"/>
    <xf numFmtId="176" fontId="57" fillId="0" borderId="68" xfId="0" applyNumberFormat="1" applyFont="1" applyBorder="1"/>
    <xf numFmtId="176" fontId="73" fillId="0" borderId="75" xfId="0" applyNumberFormat="1" applyFont="1" applyBorder="1"/>
    <xf numFmtId="0" fontId="57" fillId="0" borderId="68" xfId="0" applyFont="1" applyBorder="1"/>
    <xf numFmtId="166" fontId="57" fillId="0" borderId="73" xfId="0" applyNumberFormat="1" applyFont="1" applyBorder="1" applyAlignment="1">
      <alignment horizontal="right"/>
    </xf>
    <xf numFmtId="0" fontId="61" fillId="0" borderId="70" xfId="0" applyFont="1" applyBorder="1" applyAlignment="1">
      <alignment horizontal="left"/>
    </xf>
    <xf numFmtId="0" fontId="47" fillId="0" borderId="71" xfId="0" applyFont="1" applyBorder="1"/>
    <xf numFmtId="0" fontId="47" fillId="0" borderId="72" xfId="0" applyFont="1" applyBorder="1"/>
    <xf numFmtId="166" fontId="61" fillId="0" borderId="71" xfId="0" applyNumberFormat="1" applyFont="1" applyBorder="1"/>
    <xf numFmtId="0" fontId="57" fillId="0" borderId="2" xfId="0" applyFont="1" applyBorder="1"/>
    <xf numFmtId="176" fontId="59" fillId="0" borderId="5" xfId="0" applyNumberFormat="1" applyFont="1" applyBorder="1"/>
    <xf numFmtId="184" fontId="52" fillId="0" borderId="0" xfId="0" applyNumberFormat="1" applyFont="1"/>
    <xf numFmtId="176" fontId="50" fillId="0" borderId="2" xfId="0" applyNumberFormat="1" applyFont="1" applyBorder="1"/>
    <xf numFmtId="0" fontId="70" fillId="5" borderId="61" xfId="0" applyFont="1" applyFill="1" applyBorder="1" applyAlignment="1">
      <alignment vertical="center"/>
    </xf>
    <xf numFmtId="0" fontId="70" fillId="5" borderId="100" xfId="0" applyFont="1" applyFill="1" applyBorder="1" applyAlignment="1">
      <alignment vertical="center"/>
    </xf>
    <xf numFmtId="0" fontId="74" fillId="5" borderId="100" xfId="0" applyFont="1" applyFill="1" applyBorder="1" applyAlignment="1">
      <alignment horizontal="center" vertical="center"/>
    </xf>
    <xf numFmtId="0" fontId="74" fillId="5" borderId="100" xfId="0" applyFont="1" applyFill="1" applyBorder="1" applyAlignment="1">
      <alignment vertical="center"/>
    </xf>
    <xf numFmtId="0" fontId="70" fillId="5" borderId="103" xfId="0" applyFont="1" applyFill="1" applyBorder="1" applyAlignment="1">
      <alignment vertical="center"/>
    </xf>
    <xf numFmtId="0" fontId="61" fillId="0" borderId="9" xfId="0" applyFont="1" applyBorder="1"/>
    <xf numFmtId="0" fontId="47" fillId="0" borderId="10" xfId="0" applyFont="1" applyBorder="1"/>
    <xf numFmtId="0" fontId="47" fillId="0" borderId="9" xfId="0" applyFont="1" applyBorder="1"/>
    <xf numFmtId="0" fontId="47" fillId="0" borderId="19" xfId="0" applyFont="1" applyBorder="1"/>
    <xf numFmtId="0" fontId="47" fillId="0" borderId="1" xfId="0" applyFont="1" applyBorder="1"/>
    <xf numFmtId="175" fontId="48" fillId="0" borderId="1" xfId="0" applyNumberFormat="1" applyFont="1" applyBorder="1"/>
    <xf numFmtId="0" fontId="47" fillId="0" borderId="20" xfId="0" applyFont="1" applyBorder="1"/>
    <xf numFmtId="0" fontId="74" fillId="5" borderId="18" xfId="0" applyFont="1" applyFill="1" applyBorder="1" applyAlignment="1">
      <alignment vertical="center"/>
    </xf>
    <xf numFmtId="0" fontId="70" fillId="5" borderId="5" xfId="0" applyFont="1" applyFill="1" applyBorder="1" applyAlignment="1">
      <alignment vertical="center"/>
    </xf>
    <xf numFmtId="0" fontId="70" fillId="5" borderId="102" xfId="0" applyFont="1" applyFill="1" applyBorder="1" applyAlignment="1">
      <alignment vertical="center"/>
    </xf>
    <xf numFmtId="168" fontId="75" fillId="5" borderId="5" xfId="0" applyNumberFormat="1" applyFont="1" applyFill="1" applyBorder="1" applyAlignment="1">
      <alignment horizontal="center" vertical="center"/>
    </xf>
    <xf numFmtId="168" fontId="75" fillId="5" borderId="7" xfId="0" applyNumberFormat="1" applyFont="1" applyFill="1" applyBorder="1" applyAlignment="1">
      <alignment horizontal="centerContinuous" vertical="center"/>
    </xf>
    <xf numFmtId="168" fontId="75" fillId="5" borderId="38" xfId="0" applyNumberFormat="1" applyFont="1" applyFill="1" applyBorder="1" applyAlignment="1">
      <alignment horizontal="centerContinuous" vertical="center"/>
    </xf>
    <xf numFmtId="168" fontId="75" fillId="5" borderId="8" xfId="0" applyNumberFormat="1" applyFont="1" applyFill="1" applyBorder="1" applyAlignment="1">
      <alignment horizontal="center" vertical="center"/>
    </xf>
    <xf numFmtId="0" fontId="70" fillId="5" borderId="13" xfId="0" applyFont="1" applyFill="1" applyBorder="1" applyAlignment="1">
      <alignment vertical="center"/>
    </xf>
    <xf numFmtId="168" fontId="75" fillId="5" borderId="2" xfId="0" applyNumberFormat="1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vertical="center"/>
    </xf>
    <xf numFmtId="168" fontId="75" fillId="5" borderId="101" xfId="0" applyNumberFormat="1" applyFont="1" applyFill="1" applyBorder="1" applyAlignment="1">
      <alignment horizontal="center" vertical="center"/>
    </xf>
    <xf numFmtId="168" fontId="70" fillId="5" borderId="13" xfId="0" applyNumberFormat="1" applyFont="1" applyFill="1" applyBorder="1" applyAlignment="1">
      <alignment horizontal="left" vertical="center"/>
    </xf>
    <xf numFmtId="168" fontId="75" fillId="5" borderId="13" xfId="0" applyNumberFormat="1" applyFont="1" applyFill="1" applyBorder="1" applyAlignment="1">
      <alignment horizontal="center" vertical="center"/>
    </xf>
    <xf numFmtId="191" fontId="75" fillId="5" borderId="2" xfId="0" applyNumberFormat="1" applyFont="1" applyFill="1" applyBorder="1" applyAlignment="1">
      <alignment horizontal="center" vertical="center"/>
    </xf>
    <xf numFmtId="192" fontId="75" fillId="5" borderId="101" xfId="0" applyNumberFormat="1" applyFont="1" applyFill="1" applyBorder="1" applyAlignment="1">
      <alignment horizontal="center" vertical="center"/>
    </xf>
    <xf numFmtId="0" fontId="47" fillId="0" borderId="9" xfId="0" applyFont="1" applyBorder="1" applyAlignment="1">
      <alignment horizontal="left" indent="1"/>
    </xf>
    <xf numFmtId="176" fontId="47" fillId="0" borderId="0" xfId="0" applyNumberFormat="1" applyFont="1" applyAlignment="1">
      <alignment horizontal="left" indent="1"/>
    </xf>
    <xf numFmtId="176" fontId="47" fillId="0" borderId="10" xfId="0" applyNumberFormat="1" applyFont="1" applyBorder="1"/>
    <xf numFmtId="175" fontId="47" fillId="0" borderId="9" xfId="0" applyNumberFormat="1" applyFont="1" applyBorder="1"/>
    <xf numFmtId="175" fontId="47" fillId="0" borderId="10" xfId="0" applyNumberFormat="1" applyFont="1" applyBorder="1"/>
    <xf numFmtId="175" fontId="57" fillId="21" borderId="30" xfId="0" applyNumberFormat="1" applyFont="1" applyFill="1" applyBorder="1"/>
    <xf numFmtId="166" fontId="57" fillId="21" borderId="31" xfId="0" applyNumberFormat="1" applyFont="1" applyFill="1" applyBorder="1"/>
    <xf numFmtId="175" fontId="57" fillId="21" borderId="34" xfId="0" applyNumberFormat="1" applyFont="1" applyFill="1" applyBorder="1"/>
    <xf numFmtId="168" fontId="47" fillId="0" borderId="0" xfId="0" applyNumberFormat="1" applyFont="1"/>
    <xf numFmtId="0" fontId="57" fillId="0" borderId="11" xfId="0" applyFont="1" applyBorder="1" applyAlignment="1">
      <alignment horizontal="left" indent="1"/>
    </xf>
    <xf numFmtId="176" fontId="57" fillId="0" borderId="6" xfId="0" applyNumberFormat="1" applyFont="1" applyBorder="1"/>
    <xf numFmtId="0" fontId="57" fillId="0" borderId="6" xfId="0" applyFont="1" applyBorder="1" applyAlignment="1">
      <alignment horizontal="left" indent="1"/>
    </xf>
    <xf numFmtId="0" fontId="47" fillId="0" borderId="13" xfId="0" applyFont="1" applyBorder="1" applyAlignment="1">
      <alignment horizontal="left" indent="1"/>
    </xf>
    <xf numFmtId="175" fontId="47" fillId="0" borderId="2" xfId="0" applyNumberFormat="1" applyFont="1" applyBorder="1"/>
    <xf numFmtId="175" fontId="47" fillId="0" borderId="19" xfId="0" applyNumberFormat="1" applyFont="1" applyBorder="1"/>
    <xf numFmtId="166" fontId="47" fillId="0" borderId="1" xfId="0" applyNumberFormat="1" applyFont="1" applyBorder="1"/>
    <xf numFmtId="175" fontId="47" fillId="0" borderId="20" xfId="0" applyNumberFormat="1" applyFont="1" applyBorder="1"/>
    <xf numFmtId="167" fontId="47" fillId="0" borderId="0" xfId="0" applyNumberFormat="1" applyFont="1"/>
    <xf numFmtId="177" fontId="47" fillId="0" borderId="0" xfId="0" applyNumberFormat="1" applyFont="1"/>
    <xf numFmtId="0" fontId="47" fillId="0" borderId="0" xfId="0" applyFont="1" applyAlignment="1">
      <alignment horizontal="center"/>
    </xf>
    <xf numFmtId="175" fontId="50" fillId="0" borderId="0" xfId="0" applyNumberFormat="1" applyFont="1" applyAlignment="1">
      <alignment horizontal="left" indent="1"/>
    </xf>
    <xf numFmtId="166" fontId="68" fillId="0" borderId="1" xfId="0" applyNumberFormat="1" applyFont="1" applyBorder="1"/>
    <xf numFmtId="0" fontId="45" fillId="0" borderId="1" xfId="0" applyFont="1" applyBorder="1" applyAlignment="1">
      <alignment horizontal="center"/>
    </xf>
    <xf numFmtId="0" fontId="45" fillId="0" borderId="0" xfId="0" applyFont="1"/>
    <xf numFmtId="1" fontId="61" fillId="0" borderId="0" xfId="0" applyNumberFormat="1" applyFont="1" applyAlignment="1">
      <alignment horizontal="center"/>
    </xf>
    <xf numFmtId="0" fontId="76" fillId="5" borderId="0" xfId="0" applyFont="1" applyFill="1"/>
    <xf numFmtId="0" fontId="76" fillId="5" borderId="0" xfId="0" applyFont="1" applyFill="1" applyAlignment="1">
      <alignment horizontal="center"/>
    </xf>
    <xf numFmtId="0" fontId="76" fillId="4" borderId="9" xfId="0" applyFont="1" applyFill="1" applyBorder="1" applyAlignment="1">
      <alignment horizontal="right"/>
    </xf>
    <xf numFmtId="0" fontId="76" fillId="4" borderId="0" xfId="0" applyFont="1" applyFill="1" applyAlignment="1">
      <alignment horizontal="right"/>
    </xf>
    <xf numFmtId="176" fontId="48" fillId="0" borderId="9" xfId="0" applyNumberFormat="1" applyFont="1" applyBorder="1"/>
    <xf numFmtId="176" fontId="47" fillId="0" borderId="9" xfId="0" applyNumberFormat="1" applyFont="1" applyBorder="1"/>
    <xf numFmtId="2" fontId="47" fillId="0" borderId="0" xfId="0" applyNumberFormat="1" applyFont="1"/>
    <xf numFmtId="0" fontId="57" fillId="12" borderId="6" xfId="0" applyFont="1" applyFill="1" applyBorder="1"/>
    <xf numFmtId="0" fontId="56" fillId="12" borderId="12" xfId="0" applyFont="1" applyFill="1" applyBorder="1" applyAlignment="1">
      <alignment horizontal="center"/>
    </xf>
    <xf numFmtId="176" fontId="57" fillId="12" borderId="6" xfId="0" applyNumberFormat="1" applyFont="1" applyFill="1" applyBorder="1"/>
    <xf numFmtId="166" fontId="73" fillId="12" borderId="6" xfId="0" applyNumberFormat="1" applyFont="1" applyFill="1" applyBorder="1"/>
    <xf numFmtId="0" fontId="57" fillId="0" borderId="0" xfId="0" applyFont="1" applyAlignment="1">
      <alignment horizontal="center"/>
    </xf>
    <xf numFmtId="176" fontId="57" fillId="12" borderId="11" xfId="0" applyNumberFormat="1" applyFont="1" applyFill="1" applyBorder="1"/>
    <xf numFmtId="187" fontId="76" fillId="4" borderId="6" xfId="0" applyNumberFormat="1" applyFont="1" applyFill="1" applyBorder="1" applyAlignment="1">
      <alignment horizontal="right"/>
    </xf>
    <xf numFmtId="188" fontId="76" fillId="4" borderId="76" xfId="0" applyNumberFormat="1" applyFont="1" applyFill="1" applyBorder="1" applyAlignment="1">
      <alignment horizontal="right"/>
    </xf>
    <xf numFmtId="188" fontId="76" fillId="4" borderId="6" xfId="0" applyNumberFormat="1" applyFont="1" applyFill="1" applyBorder="1" applyAlignment="1">
      <alignment horizontal="right"/>
    </xf>
    <xf numFmtId="188" fontId="76" fillId="4" borderId="6" xfId="0" applyNumberFormat="1" applyFont="1" applyFill="1" applyBorder="1" applyAlignment="1">
      <alignment horizontal="center"/>
    </xf>
    <xf numFmtId="0" fontId="76" fillId="4" borderId="6" xfId="0" applyFont="1" applyFill="1" applyBorder="1" applyAlignment="1">
      <alignment horizontal="right"/>
    </xf>
    <xf numFmtId="176" fontId="47" fillId="0" borderId="69" xfId="0" applyNumberFormat="1" applyFont="1" applyBorder="1"/>
    <xf numFmtId="176" fontId="47" fillId="0" borderId="0" xfId="0" applyNumberFormat="1" applyFont="1" applyAlignment="1">
      <alignment horizontal="center"/>
    </xf>
    <xf numFmtId="0" fontId="56" fillId="12" borderId="6" xfId="0" applyFont="1" applyFill="1" applyBorder="1" applyAlignment="1">
      <alignment horizontal="center"/>
    </xf>
    <xf numFmtId="176" fontId="57" fillId="12" borderId="76" xfId="0" applyNumberFormat="1" applyFont="1" applyFill="1" applyBorder="1"/>
    <xf numFmtId="176" fontId="57" fillId="12" borderId="6" xfId="0" applyNumberFormat="1" applyFont="1" applyFill="1" applyBorder="1" applyAlignment="1">
      <alignment horizontal="center"/>
    </xf>
    <xf numFmtId="0" fontId="61" fillId="0" borderId="0" xfId="0" applyFont="1" applyAlignment="1">
      <alignment horizontal="left" indent="1"/>
    </xf>
    <xf numFmtId="166" fontId="47" fillId="0" borderId="69" xfId="0" applyNumberFormat="1" applyFont="1" applyBorder="1"/>
    <xf numFmtId="166" fontId="47" fillId="0" borderId="0" xfId="0" applyNumberFormat="1" applyFont="1" applyAlignment="1">
      <alignment horizontal="center"/>
    </xf>
    <xf numFmtId="187" fontId="47" fillId="0" borderId="0" xfId="0" applyNumberFormat="1" applyFont="1"/>
    <xf numFmtId="176" fontId="61" fillId="0" borderId="0" xfId="0" applyNumberFormat="1" applyFont="1"/>
    <xf numFmtId="176" fontId="61" fillId="0" borderId="0" xfId="0" applyNumberFormat="1" applyFont="1" applyAlignment="1">
      <alignment horizontal="center"/>
    </xf>
    <xf numFmtId="175" fontId="61" fillId="0" borderId="0" xfId="0" applyNumberFormat="1" applyFont="1"/>
    <xf numFmtId="175" fontId="61" fillId="0" borderId="0" xfId="0" applyNumberFormat="1" applyFont="1" applyAlignment="1">
      <alignment horizontal="center"/>
    </xf>
    <xf numFmtId="166" fontId="61" fillId="0" borderId="0" xfId="0" applyNumberFormat="1" applyFont="1" applyAlignment="1">
      <alignment horizontal="center"/>
    </xf>
    <xf numFmtId="176" fontId="49" fillId="0" borderId="0" xfId="0" applyNumberFormat="1" applyFont="1" applyAlignment="1">
      <alignment horizontal="center"/>
    </xf>
    <xf numFmtId="0" fontId="57" fillId="12" borderId="53" xfId="0" applyFont="1" applyFill="1" applyBorder="1" applyAlignment="1">
      <alignment horizontal="left" indent="1"/>
    </xf>
    <xf numFmtId="0" fontId="57" fillId="12" borderId="14" xfId="0" applyFont="1" applyFill="1" applyBorder="1" applyAlignment="1">
      <alignment horizontal="center"/>
    </xf>
    <xf numFmtId="166" fontId="57" fillId="12" borderId="54" xfId="0" applyNumberFormat="1" applyFont="1" applyFill="1" applyBorder="1"/>
    <xf numFmtId="0" fontId="57" fillId="12" borderId="55" xfId="0" applyFont="1" applyFill="1" applyBorder="1" applyAlignment="1">
      <alignment horizontal="left" indent="1"/>
    </xf>
    <xf numFmtId="0" fontId="57" fillId="12" borderId="3" xfId="0" applyFont="1" applyFill="1" applyBorder="1" applyAlignment="1">
      <alignment horizontal="center"/>
    </xf>
    <xf numFmtId="175" fontId="57" fillId="12" borderId="56" xfId="0" applyNumberFormat="1" applyFont="1" applyFill="1" applyBorder="1"/>
    <xf numFmtId="0" fontId="45" fillId="0" borderId="0" xfId="0" applyFont="1" applyAlignment="1">
      <alignment horizontal="center"/>
    </xf>
    <xf numFmtId="176" fontId="45" fillId="0" borderId="0" xfId="0" applyNumberFormat="1" applyFont="1"/>
    <xf numFmtId="0" fontId="73" fillId="0" borderId="0" xfId="0" applyFont="1"/>
    <xf numFmtId="176" fontId="61" fillId="0" borderId="0" xfId="0" applyNumberFormat="1" applyFont="1" applyAlignment="1">
      <alignment horizontal="left" indent="1"/>
    </xf>
    <xf numFmtId="0" fontId="68" fillId="0" borderId="0" xfId="0" applyFont="1" applyAlignment="1">
      <alignment horizontal="center"/>
    </xf>
    <xf numFmtId="176" fontId="68" fillId="0" borderId="0" xfId="0" applyNumberFormat="1" applyFont="1"/>
    <xf numFmtId="0" fontId="68" fillId="0" borderId="0" xfId="0" applyFont="1"/>
    <xf numFmtId="0" fontId="57" fillId="12" borderId="104" xfId="0" applyFont="1" applyFill="1" applyBorder="1" applyAlignment="1">
      <alignment horizontal="left" indent="1"/>
    </xf>
    <xf numFmtId="0" fontId="57" fillId="12" borderId="0" xfId="0" applyFont="1" applyFill="1" applyAlignment="1">
      <alignment horizontal="center"/>
    </xf>
    <xf numFmtId="175" fontId="57" fillId="12" borderId="105" xfId="0" applyNumberFormat="1" applyFont="1" applyFill="1" applyBorder="1"/>
    <xf numFmtId="166" fontId="57" fillId="12" borderId="56" xfId="0" applyNumberFormat="1" applyFont="1" applyFill="1" applyBorder="1"/>
    <xf numFmtId="1" fontId="47" fillId="0" borderId="0" xfId="0" applyNumberFormat="1" applyFont="1" applyAlignment="1">
      <alignment horizontal="center"/>
    </xf>
    <xf numFmtId="1" fontId="73" fillId="0" borderId="0" xfId="0" applyNumberFormat="1" applyFont="1" applyAlignment="1">
      <alignment horizontal="center"/>
    </xf>
    <xf numFmtId="176" fontId="73" fillId="0" borderId="0" xfId="0" applyNumberFormat="1" applyFont="1" applyAlignment="1">
      <alignment horizontal="center"/>
    </xf>
    <xf numFmtId="0" fontId="76" fillId="4" borderId="6" xfId="0" applyFont="1" applyFill="1" applyBorder="1" applyAlignment="1">
      <alignment horizontal="center"/>
    </xf>
    <xf numFmtId="175" fontId="57" fillId="12" borderId="6" xfId="0" applyNumberFormat="1" applyFont="1" applyFill="1" applyBorder="1"/>
    <xf numFmtId="175" fontId="57" fillId="12" borderId="6" xfId="0" applyNumberFormat="1" applyFont="1" applyFill="1" applyBorder="1" applyAlignment="1">
      <alignment horizontal="center"/>
    </xf>
    <xf numFmtId="175" fontId="47" fillId="0" borderId="0" xfId="0" applyNumberFormat="1" applyFont="1" applyAlignment="1">
      <alignment horizontal="center"/>
    </xf>
    <xf numFmtId="176" fontId="47" fillId="0" borderId="2" xfId="0" applyNumberFormat="1" applyFont="1" applyBorder="1" applyAlignment="1">
      <alignment horizontal="center"/>
    </xf>
    <xf numFmtId="168" fontId="47" fillId="0" borderId="2" xfId="0" applyNumberFormat="1" applyFont="1" applyBorder="1" applyAlignment="1">
      <alignment horizontal="center"/>
    </xf>
    <xf numFmtId="167" fontId="61" fillId="0" borderId="0" xfId="0" applyNumberFormat="1" applyFont="1"/>
    <xf numFmtId="167" fontId="61" fillId="0" borderId="0" xfId="0" applyNumberFormat="1" applyFont="1" applyAlignment="1">
      <alignment horizontal="center"/>
    </xf>
    <xf numFmtId="4" fontId="48" fillId="0" borderId="0" xfId="0" applyNumberFormat="1" applyFont="1" applyAlignment="1">
      <alignment horizontal="right" vertical="center"/>
    </xf>
    <xf numFmtId="179" fontId="61" fillId="0" borderId="0" xfId="0" applyNumberFormat="1" applyFont="1"/>
    <xf numFmtId="179" fontId="61" fillId="0" borderId="0" xfId="0" applyNumberFormat="1" applyFont="1" applyAlignment="1">
      <alignment horizontal="center"/>
    </xf>
    <xf numFmtId="176" fontId="55" fillId="12" borderId="6" xfId="0" applyNumberFormat="1" applyFont="1" applyFill="1" applyBorder="1" applyAlignment="1">
      <alignment horizontal="center"/>
    </xf>
    <xf numFmtId="184" fontId="47" fillId="0" borderId="0" xfId="0" applyNumberFormat="1" applyFont="1"/>
    <xf numFmtId="168" fontId="45" fillId="0" borderId="0" xfId="0" applyNumberFormat="1" applyFont="1"/>
    <xf numFmtId="168" fontId="45" fillId="0" borderId="0" xfId="0" applyNumberFormat="1" applyFont="1" applyAlignment="1">
      <alignment horizontal="center"/>
    </xf>
    <xf numFmtId="166" fontId="47" fillId="0" borderId="2" xfId="0" applyNumberFormat="1" applyFont="1" applyBorder="1"/>
    <xf numFmtId="166" fontId="47" fillId="0" borderId="2" xfId="0" applyNumberFormat="1" applyFont="1" applyBorder="1" applyAlignment="1">
      <alignment horizontal="center"/>
    </xf>
    <xf numFmtId="166" fontId="77" fillId="0" borderId="0" xfId="0" applyNumberFormat="1" applyFont="1"/>
    <xf numFmtId="166" fontId="77" fillId="0" borderId="0" xfId="0" applyNumberFormat="1" applyFont="1" applyAlignment="1">
      <alignment horizontal="center"/>
    </xf>
    <xf numFmtId="176" fontId="78" fillId="0" borderId="0" xfId="0" applyNumberFormat="1" applyFont="1" applyAlignment="1">
      <alignment horizontal="right"/>
    </xf>
    <xf numFmtId="0" fontId="62" fillId="0" borderId="0" xfId="0" applyFont="1" applyAlignment="1">
      <alignment horizontal="right" indent="1"/>
    </xf>
    <xf numFmtId="0" fontId="79" fillId="5" borderId="11" xfId="0" applyFont="1" applyFill="1" applyBorder="1"/>
    <xf numFmtId="173" fontId="79" fillId="6" borderId="11" xfId="0" applyNumberFormat="1" applyFont="1" applyFill="1" applyBorder="1" applyAlignment="1">
      <alignment horizontal="center"/>
    </xf>
    <xf numFmtId="173" fontId="79" fillId="6" borderId="58" xfId="0" applyNumberFormat="1" applyFont="1" applyFill="1" applyBorder="1" applyAlignment="1">
      <alignment horizontal="center"/>
    </xf>
    <xf numFmtId="173" fontId="47" fillId="0" borderId="9" xfId="0" applyNumberFormat="1" applyFont="1" applyBorder="1" applyAlignment="1">
      <alignment horizontal="left" indent="1"/>
    </xf>
    <xf numFmtId="0" fontId="49" fillId="0" borderId="33" xfId="0" applyFont="1" applyBorder="1" applyAlignment="1">
      <alignment horizontal="center"/>
    </xf>
    <xf numFmtId="186" fontId="62" fillId="12" borderId="9" xfId="0" applyNumberFormat="1" applyFont="1" applyFill="1" applyBorder="1" applyAlignment="1">
      <alignment horizontal="center"/>
    </xf>
    <xf numFmtId="173" fontId="47" fillId="0" borderId="13" xfId="0" applyNumberFormat="1" applyFont="1" applyBorder="1" applyAlignment="1">
      <alignment horizontal="left" indent="1"/>
    </xf>
    <xf numFmtId="0" fontId="49" fillId="0" borderId="59" xfId="0" applyFont="1" applyBorder="1" applyAlignment="1">
      <alignment horizontal="center"/>
    </xf>
    <xf numFmtId="186" fontId="62" fillId="12" borderId="13" xfId="0" applyNumberFormat="1" applyFont="1" applyFill="1" applyBorder="1" applyAlignment="1">
      <alignment horizontal="center"/>
    </xf>
    <xf numFmtId="186" fontId="62" fillId="12" borderId="59" xfId="0" applyNumberFormat="1" applyFont="1" applyFill="1" applyBorder="1" applyAlignment="1">
      <alignment horizontal="center"/>
    </xf>
    <xf numFmtId="0" fontId="49" fillId="0" borderId="9" xfId="0" applyFont="1" applyBorder="1" applyAlignment="1">
      <alignment horizontal="center"/>
    </xf>
    <xf numFmtId="166" fontId="62" fillId="12" borderId="9" xfId="0" applyNumberFormat="1" applyFont="1" applyFill="1" applyBorder="1" applyAlignment="1">
      <alignment horizontal="center"/>
    </xf>
    <xf numFmtId="166" fontId="54" fillId="12" borderId="33" xfId="0" applyNumberFormat="1" applyFont="1" applyFill="1" applyBorder="1" applyAlignment="1">
      <alignment horizontal="center"/>
    </xf>
    <xf numFmtId="166" fontId="54" fillId="12" borderId="9" xfId="0" applyNumberFormat="1" applyFont="1" applyFill="1" applyBorder="1" applyAlignment="1">
      <alignment horizontal="center"/>
    </xf>
    <xf numFmtId="0" fontId="49" fillId="0" borderId="13" xfId="0" applyFont="1" applyBorder="1" applyAlignment="1">
      <alignment horizontal="center"/>
    </xf>
    <xf numFmtId="166" fontId="62" fillId="12" borderId="13" xfId="0" applyNumberFormat="1" applyFont="1" applyFill="1" applyBorder="1" applyAlignment="1">
      <alignment horizontal="center"/>
    </xf>
    <xf numFmtId="166" fontId="54" fillId="12" borderId="59" xfId="0" applyNumberFormat="1" applyFont="1" applyFill="1" applyBorder="1" applyAlignment="1">
      <alignment horizontal="center"/>
    </xf>
    <xf numFmtId="0" fontId="79" fillId="5" borderId="18" xfId="0" applyFont="1" applyFill="1" applyBorder="1"/>
    <xf numFmtId="173" fontId="79" fillId="6" borderId="5" xfId="0" applyNumberFormat="1" applyFont="1" applyFill="1" applyBorder="1" applyAlignment="1">
      <alignment horizontal="center"/>
    </xf>
    <xf numFmtId="173" fontId="79" fillId="6" borderId="18" xfId="0" applyNumberFormat="1" applyFont="1" applyFill="1" applyBorder="1" applyAlignment="1">
      <alignment horizontal="center"/>
    </xf>
    <xf numFmtId="173" fontId="47" fillId="0" borderId="18" xfId="0" applyNumberFormat="1" applyFont="1" applyBorder="1" applyAlignment="1">
      <alignment horizontal="left" indent="1"/>
    </xf>
    <xf numFmtId="166" fontId="62" fillId="12" borderId="18" xfId="0" applyNumberFormat="1" applyFont="1" applyFill="1" applyBorder="1" applyAlignment="1">
      <alignment horizontal="center"/>
    </xf>
    <xf numFmtId="166" fontId="54" fillId="12" borderId="60" xfId="0" applyNumberFormat="1" applyFont="1" applyFill="1" applyBorder="1" applyAlignment="1">
      <alignment horizontal="center"/>
    </xf>
    <xf numFmtId="176" fontId="54" fillId="12" borderId="33" xfId="0" applyNumberFormat="1" applyFont="1" applyFill="1" applyBorder="1" applyAlignment="1">
      <alignment horizontal="center"/>
    </xf>
    <xf numFmtId="175" fontId="54" fillId="12" borderId="33" xfId="0" applyNumberFormat="1" applyFont="1" applyFill="1" applyBorder="1" applyAlignment="1">
      <alignment horizontal="center"/>
    </xf>
    <xf numFmtId="166" fontId="51" fillId="0" borderId="33" xfId="0" applyNumberFormat="1" applyFont="1" applyBorder="1" applyAlignment="1">
      <alignment horizontal="center"/>
    </xf>
    <xf numFmtId="166" fontId="51" fillId="0" borderId="9" xfId="0" applyNumberFormat="1" applyFont="1" applyBorder="1" applyAlignment="1">
      <alignment horizontal="center"/>
    </xf>
    <xf numFmtId="166" fontId="48" fillId="0" borderId="33" xfId="0" applyNumberFormat="1" applyFont="1" applyBorder="1" applyAlignment="1">
      <alignment horizontal="center"/>
    </xf>
    <xf numFmtId="176" fontId="48" fillId="0" borderId="33" xfId="0" applyNumberFormat="1" applyFont="1" applyBorder="1" applyAlignment="1">
      <alignment horizontal="center"/>
    </xf>
    <xf numFmtId="166" fontId="62" fillId="12" borderId="0" xfId="0" applyNumberFormat="1" applyFont="1" applyFill="1" applyAlignment="1">
      <alignment horizontal="center"/>
    </xf>
    <xf numFmtId="43" fontId="47" fillId="0" borderId="0" xfId="0" applyNumberFormat="1" applyFont="1"/>
    <xf numFmtId="166" fontId="62" fillId="12" borderId="2" xfId="0" applyNumberFormat="1" applyFont="1" applyFill="1" applyBorder="1" applyAlignment="1">
      <alignment horizontal="center"/>
    </xf>
    <xf numFmtId="176" fontId="54" fillId="12" borderId="59" xfId="0" applyNumberFormat="1" applyFont="1" applyFill="1" applyBorder="1" applyAlignment="1">
      <alignment horizontal="center"/>
    </xf>
    <xf numFmtId="179" fontId="47" fillId="0" borderId="0" xfId="0" applyNumberFormat="1" applyFont="1"/>
    <xf numFmtId="166" fontId="51" fillId="0" borderId="0" xfId="0" applyNumberFormat="1" applyFont="1" applyAlignment="1">
      <alignment horizontal="center"/>
    </xf>
    <xf numFmtId="166" fontId="51" fillId="0" borderId="2" xfId="0" applyNumberFormat="1" applyFont="1" applyBorder="1" applyAlignment="1">
      <alignment horizontal="center"/>
    </xf>
    <xf numFmtId="166" fontId="51" fillId="0" borderId="13" xfId="0" applyNumberFormat="1" applyFont="1" applyBorder="1" applyAlignment="1">
      <alignment horizontal="center"/>
    </xf>
    <xf numFmtId="166" fontId="48" fillId="0" borderId="59" xfId="0" applyNumberFormat="1" applyFont="1" applyBorder="1" applyAlignment="1">
      <alignment horizontal="center"/>
    </xf>
    <xf numFmtId="166" fontId="51" fillId="0" borderId="59" xfId="0" applyNumberFormat="1" applyFont="1" applyBorder="1" applyAlignment="1">
      <alignment horizontal="center"/>
    </xf>
    <xf numFmtId="0" fontId="80" fillId="0" borderId="0" xfId="0" applyFont="1"/>
    <xf numFmtId="0" fontId="73" fillId="0" borderId="0" xfId="0" applyFont="1" applyAlignment="1">
      <alignment horizontal="left" indent="1"/>
    </xf>
    <xf numFmtId="0" fontId="49" fillId="0" borderId="0" xfId="0" applyFont="1" applyAlignment="1">
      <alignment horizontal="right"/>
    </xf>
    <xf numFmtId="176" fontId="81" fillId="0" borderId="0" xfId="0" applyNumberFormat="1" applyFont="1"/>
    <xf numFmtId="0" fontId="61" fillId="0" borderId="2" xfId="0" applyFont="1" applyBorder="1" applyAlignment="1">
      <alignment horizontal="left" indent="1"/>
    </xf>
    <xf numFmtId="0" fontId="49" fillId="0" borderId="2" xfId="0" applyFont="1" applyBorder="1" applyAlignment="1">
      <alignment horizontal="right"/>
    </xf>
    <xf numFmtId="175" fontId="82" fillId="0" borderId="2" xfId="0" applyNumberFormat="1" applyFont="1" applyBorder="1"/>
    <xf numFmtId="0" fontId="73" fillId="0" borderId="0" xfId="0" applyFont="1" applyAlignment="1">
      <alignment horizontal="left"/>
    </xf>
    <xf numFmtId="0" fontId="56" fillId="0" borderId="0" xfId="0" applyFont="1" applyAlignment="1">
      <alignment horizontal="right"/>
    </xf>
    <xf numFmtId="0" fontId="61" fillId="0" borderId="0" xfId="0" applyFont="1" applyAlignment="1">
      <alignment horizontal="left" indent="2"/>
    </xf>
    <xf numFmtId="166" fontId="59" fillId="0" borderId="0" xfId="0" applyNumberFormat="1" applyFont="1"/>
    <xf numFmtId="0" fontId="61" fillId="0" borderId="2" xfId="0" applyFont="1" applyBorder="1" applyAlignment="1">
      <alignment horizontal="left" indent="2"/>
    </xf>
    <xf numFmtId="176" fontId="59" fillId="0" borderId="2" xfId="0" applyNumberFormat="1" applyFont="1" applyBorder="1"/>
    <xf numFmtId="176" fontId="48" fillId="0" borderId="2" xfId="0" applyNumberFormat="1" applyFont="1" applyBorder="1"/>
    <xf numFmtId="176" fontId="61" fillId="0" borderId="2" xfId="0" applyNumberFormat="1" applyFont="1" applyBorder="1"/>
    <xf numFmtId="173" fontId="61" fillId="0" borderId="0" xfId="0" applyNumberFormat="1" applyFont="1" applyAlignment="1">
      <alignment horizontal="left"/>
    </xf>
    <xf numFmtId="0" fontId="61" fillId="0" borderId="0" xfId="0" applyFont="1" applyAlignment="1">
      <alignment horizontal="left"/>
    </xf>
    <xf numFmtId="167" fontId="50" fillId="0" borderId="0" xfId="0" applyNumberFormat="1" applyFont="1"/>
    <xf numFmtId="0" fontId="48" fillId="0" borderId="0" xfId="0" applyFont="1"/>
    <xf numFmtId="0" fontId="76" fillId="5" borderId="1" xfId="0" applyFont="1" applyFill="1" applyBorder="1"/>
    <xf numFmtId="173" fontId="76" fillId="6" borderId="0" xfId="0" applyNumberFormat="1" applyFont="1" applyFill="1" applyAlignment="1">
      <alignment horizontal="center"/>
    </xf>
    <xf numFmtId="173" fontId="70" fillId="6" borderId="0" xfId="0" applyNumberFormat="1" applyFont="1" applyFill="1"/>
    <xf numFmtId="173" fontId="70" fillId="6" borderId="9" xfId="0" applyNumberFormat="1" applyFont="1" applyFill="1" applyBorder="1"/>
    <xf numFmtId="0" fontId="77" fillId="0" borderId="0" xfId="0" applyFont="1" applyAlignment="1">
      <alignment horizontal="center"/>
    </xf>
    <xf numFmtId="0" fontId="78" fillId="0" borderId="0" xfId="0" applyFont="1"/>
    <xf numFmtId="0" fontId="77" fillId="0" borderId="0" xfId="0" applyFont="1"/>
    <xf numFmtId="0" fontId="77" fillId="0" borderId="9" xfId="0" applyFont="1" applyBorder="1"/>
    <xf numFmtId="185" fontId="77" fillId="0" borderId="0" xfId="0" applyNumberFormat="1" applyFont="1"/>
    <xf numFmtId="0" fontId="77" fillId="0" borderId="2" xfId="0" applyFont="1" applyBorder="1"/>
    <xf numFmtId="0" fontId="46" fillId="0" borderId="19" xfId="0" applyFont="1" applyBorder="1"/>
    <xf numFmtId="0" fontId="72" fillId="7" borderId="35" xfId="0" applyFont="1" applyFill="1" applyBorder="1" applyAlignment="1">
      <alignment horizontal="center"/>
    </xf>
    <xf numFmtId="186" fontId="60" fillId="16" borderId="35" xfId="0" applyNumberFormat="1" applyFont="1" applyFill="1" applyBorder="1" applyAlignment="1">
      <alignment horizontal="right" indent="1"/>
    </xf>
    <xf numFmtId="0" fontId="45" fillId="0" borderId="0" xfId="0" applyFont="1" applyAlignment="1">
      <alignment horizontal="left"/>
    </xf>
    <xf numFmtId="166" fontId="58" fillId="0" borderId="0" xfId="0" applyNumberFormat="1" applyFont="1"/>
    <xf numFmtId="0" fontId="45" fillId="0" borderId="0" xfId="0" applyFont="1" applyAlignment="1">
      <alignment horizontal="left" indent="1"/>
    </xf>
    <xf numFmtId="0" fontId="78" fillId="0" borderId="0" xfId="0" applyFont="1" applyAlignment="1">
      <alignment horizontal="left"/>
    </xf>
    <xf numFmtId="0" fontId="78" fillId="0" borderId="2" xfId="0" applyFont="1" applyBorder="1" applyAlignment="1">
      <alignment horizontal="left" indent="3"/>
    </xf>
    <xf numFmtId="166" fontId="50" fillId="16" borderId="57" xfId="0" applyNumberFormat="1" applyFont="1" applyFill="1" applyBorder="1" applyAlignment="1">
      <alignment horizontal="center"/>
    </xf>
    <xf numFmtId="176" fontId="54" fillId="12" borderId="57" xfId="0" applyNumberFormat="1" applyFont="1" applyFill="1" applyBorder="1" applyAlignment="1">
      <alignment horizontal="center"/>
    </xf>
    <xf numFmtId="176" fontId="77" fillId="0" borderId="13" xfId="0" applyNumberFormat="1" applyFont="1" applyBorder="1"/>
    <xf numFmtId="176" fontId="77" fillId="0" borderId="2" xfId="0" applyNumberFormat="1" applyFont="1" applyBorder="1"/>
    <xf numFmtId="0" fontId="68" fillId="0" borderId="0" xfId="0" applyFont="1" applyAlignment="1">
      <alignment horizontal="left"/>
    </xf>
    <xf numFmtId="166" fontId="58" fillId="0" borderId="0" xfId="0" applyNumberFormat="1" applyFont="1" applyAlignment="1">
      <alignment horizontal="center"/>
    </xf>
    <xf numFmtId="176" fontId="45" fillId="3" borderId="40" xfId="0" applyNumberFormat="1" applyFont="1" applyFill="1" applyBorder="1"/>
    <xf numFmtId="0" fontId="78" fillId="0" borderId="0" xfId="0" applyFont="1" applyAlignment="1">
      <alignment horizontal="left" indent="3"/>
    </xf>
    <xf numFmtId="0" fontId="78" fillId="0" borderId="0" xfId="0" applyFont="1" applyAlignment="1">
      <alignment horizontal="left" indent="2"/>
    </xf>
    <xf numFmtId="0" fontId="72" fillId="7" borderId="25" xfId="0" applyFont="1" applyFill="1" applyBorder="1" applyAlignment="1">
      <alignment horizontal="center"/>
    </xf>
    <xf numFmtId="0" fontId="78" fillId="0" borderId="2" xfId="0" applyFont="1" applyBorder="1" applyAlignment="1">
      <alignment horizontal="left" indent="1"/>
    </xf>
    <xf numFmtId="166" fontId="83" fillId="0" borderId="0" xfId="0" applyNumberFormat="1" applyFont="1"/>
    <xf numFmtId="0" fontId="78" fillId="0" borderId="0" xfId="0" applyFont="1" applyAlignment="1">
      <alignment horizontal="left" indent="1"/>
    </xf>
    <xf numFmtId="186" fontId="60" fillId="16" borderId="35" xfId="0" applyNumberFormat="1" applyFont="1" applyFill="1" applyBorder="1" applyAlignment="1">
      <alignment horizontal="right"/>
    </xf>
    <xf numFmtId="176" fontId="60" fillId="16" borderId="25" xfId="0" applyNumberFormat="1" applyFont="1" applyFill="1" applyBorder="1" applyAlignment="1">
      <alignment horizontal="right"/>
    </xf>
    <xf numFmtId="176" fontId="77" fillId="0" borderId="0" xfId="0" applyNumberFormat="1" applyFont="1"/>
    <xf numFmtId="176" fontId="78" fillId="0" borderId="0" xfId="0" applyNumberFormat="1" applyFont="1"/>
    <xf numFmtId="176" fontId="50" fillId="16" borderId="57" xfId="0" applyNumberFormat="1" applyFont="1" applyFill="1" applyBorder="1" applyAlignment="1">
      <alignment horizontal="center"/>
    </xf>
    <xf numFmtId="176" fontId="62" fillId="2" borderId="13" xfId="0" applyNumberFormat="1" applyFont="1" applyFill="1" applyBorder="1"/>
    <xf numFmtId="176" fontId="78" fillId="0" borderId="2" xfId="0" applyNumberFormat="1" applyFont="1" applyBorder="1"/>
    <xf numFmtId="184" fontId="45" fillId="0" borderId="9" xfId="0" applyNumberFormat="1" applyFont="1" applyBorder="1"/>
    <xf numFmtId="0" fontId="68" fillId="0" borderId="0" xfId="0" applyFont="1" applyAlignment="1">
      <alignment horizontal="left" indent="1"/>
    </xf>
    <xf numFmtId="176" fontId="59" fillId="16" borderId="57" xfId="0" applyNumberFormat="1" applyFont="1" applyFill="1" applyBorder="1" applyAlignment="1">
      <alignment horizontal="center"/>
    </xf>
    <xf numFmtId="176" fontId="45" fillId="0" borderId="9" xfId="0" applyNumberFormat="1" applyFont="1" applyBorder="1"/>
    <xf numFmtId="176" fontId="77" fillId="0" borderId="9" xfId="0" applyNumberFormat="1" applyFont="1" applyBorder="1"/>
    <xf numFmtId="176" fontId="50" fillId="16" borderId="61" xfId="0" applyNumberFormat="1" applyFont="1" applyFill="1" applyBorder="1" applyAlignment="1">
      <alignment horizontal="center"/>
    </xf>
    <xf numFmtId="0" fontId="77" fillId="0" borderId="13" xfId="0" applyFont="1" applyBorder="1"/>
    <xf numFmtId="179" fontId="57" fillId="0" borderId="0" xfId="0" applyNumberFormat="1" applyFont="1"/>
    <xf numFmtId="176" fontId="57" fillId="0" borderId="9" xfId="0" applyNumberFormat="1" applyFont="1" applyBorder="1"/>
    <xf numFmtId="0" fontId="73" fillId="0" borderId="0" xfId="0" applyFont="1" applyAlignment="1">
      <alignment horizontal="left" indent="2"/>
    </xf>
    <xf numFmtId="166" fontId="61" fillId="0" borderId="9" xfId="0" applyNumberFormat="1" applyFont="1" applyBorder="1"/>
    <xf numFmtId="0" fontId="77" fillId="0" borderId="2" xfId="0" applyFont="1" applyBorder="1" applyAlignment="1">
      <alignment horizontal="left" indent="1"/>
    </xf>
    <xf numFmtId="0" fontId="46" fillId="0" borderId="2" xfId="0" applyFont="1" applyBorder="1"/>
    <xf numFmtId="176" fontId="48" fillId="0" borderId="13" xfId="0" applyNumberFormat="1" applyFont="1" applyBorder="1"/>
    <xf numFmtId="176" fontId="45" fillId="3" borderId="35" xfId="0" applyNumberFormat="1" applyFont="1" applyFill="1" applyBorder="1"/>
    <xf numFmtId="166" fontId="47" fillId="0" borderId="9" xfId="0" applyNumberFormat="1" applyFont="1" applyBorder="1"/>
    <xf numFmtId="176" fontId="48" fillId="15" borderId="9" xfId="0" applyNumberFormat="1" applyFont="1" applyFill="1" applyBorder="1"/>
    <xf numFmtId="176" fontId="48" fillId="15" borderId="0" xfId="0" applyNumberFormat="1" applyFont="1" applyFill="1"/>
    <xf numFmtId="176" fontId="48" fillId="15" borderId="13" xfId="0" applyNumberFormat="1" applyFont="1" applyFill="1" applyBorder="1"/>
    <xf numFmtId="176" fontId="48" fillId="15" borderId="2" xfId="0" applyNumberFormat="1" applyFont="1" applyFill="1" applyBorder="1"/>
    <xf numFmtId="168" fontId="48" fillId="0" borderId="9" xfId="0" applyNumberFormat="1" applyFont="1" applyBorder="1"/>
    <xf numFmtId="168" fontId="48" fillId="0" borderId="13" xfId="0" applyNumberFormat="1" applyFont="1" applyBorder="1"/>
    <xf numFmtId="168" fontId="48" fillId="0" borderId="2" xfId="0" applyNumberFormat="1" applyFont="1" applyBorder="1"/>
    <xf numFmtId="176" fontId="50" fillId="0" borderId="13" xfId="0" applyNumberFormat="1" applyFont="1" applyBorder="1"/>
    <xf numFmtId="176" fontId="50" fillId="0" borderId="9" xfId="0" applyNumberFormat="1" applyFont="1" applyBorder="1"/>
    <xf numFmtId="176" fontId="46" fillId="0" borderId="9" xfId="0" applyNumberFormat="1" applyFont="1" applyBorder="1"/>
    <xf numFmtId="176" fontId="47" fillId="0" borderId="13" xfId="0" applyNumberFormat="1" applyFont="1" applyBorder="1"/>
    <xf numFmtId="0" fontId="47" fillId="0" borderId="47" xfId="0" applyFont="1" applyBorder="1"/>
    <xf numFmtId="0" fontId="47" fillId="0" borderId="62" xfId="0" applyFont="1" applyBorder="1"/>
    <xf numFmtId="176" fontId="60" fillId="0" borderId="0" xfId="0" applyNumberFormat="1" applyFont="1" applyAlignment="1">
      <alignment horizontal="right"/>
    </xf>
    <xf numFmtId="0" fontId="49" fillId="0" borderId="0" xfId="0" applyFont="1"/>
    <xf numFmtId="0" fontId="84" fillId="0" borderId="0" xfId="0" applyFont="1" applyAlignment="1">
      <alignment horizontal="center"/>
    </xf>
    <xf numFmtId="0" fontId="84" fillId="0" borderId="47" xfId="0" applyFont="1" applyBorder="1" applyAlignment="1">
      <alignment horizontal="center"/>
    </xf>
    <xf numFmtId="0" fontId="84" fillId="0" borderId="62" xfId="0" applyFont="1" applyBorder="1" applyAlignment="1">
      <alignment horizontal="center"/>
    </xf>
    <xf numFmtId="17" fontId="46" fillId="7" borderId="0" xfId="0" applyNumberFormat="1" applyFont="1" applyFill="1" applyAlignment="1">
      <alignment horizontal="center" vertical="center"/>
    </xf>
    <xf numFmtId="17" fontId="76" fillId="5" borderId="0" xfId="0" applyNumberFormat="1" applyFont="1" applyFill="1" applyAlignment="1">
      <alignment horizontal="left"/>
    </xf>
    <xf numFmtId="1" fontId="79" fillId="6" borderId="0" xfId="0" applyNumberFormat="1" applyFont="1" applyFill="1" applyAlignment="1">
      <alignment horizontal="center"/>
    </xf>
    <xf numFmtId="1" fontId="76" fillId="6" borderId="0" xfId="0" applyNumberFormat="1" applyFont="1" applyFill="1" applyAlignment="1">
      <alignment horizontal="center"/>
    </xf>
    <xf numFmtId="172" fontId="70" fillId="6" borderId="0" xfId="0" applyNumberFormat="1" applyFont="1" applyFill="1"/>
    <xf numFmtId="172" fontId="70" fillId="13" borderId="47" xfId="0" applyNumberFormat="1" applyFont="1" applyFill="1" applyBorder="1" applyAlignment="1">
      <alignment horizontal="center"/>
    </xf>
    <xf numFmtId="172" fontId="70" fillId="13" borderId="0" xfId="0" applyNumberFormat="1" applyFont="1" applyFill="1" applyAlignment="1">
      <alignment horizontal="center"/>
    </xf>
    <xf numFmtId="172" fontId="70" fillId="14" borderId="0" xfId="0" applyNumberFormat="1" applyFont="1" applyFill="1" applyAlignment="1">
      <alignment horizontal="center"/>
    </xf>
    <xf numFmtId="172" fontId="70" fillId="6" borderId="62" xfId="0" applyNumberFormat="1" applyFont="1" applyFill="1" applyBorder="1"/>
    <xf numFmtId="173" fontId="70" fillId="6" borderId="62" xfId="0" applyNumberFormat="1" applyFont="1" applyFill="1" applyBorder="1"/>
    <xf numFmtId="0" fontId="46" fillId="0" borderId="3" xfId="0" applyFont="1" applyBorder="1" applyAlignment="1">
      <alignment horizontal="left"/>
    </xf>
    <xf numFmtId="0" fontId="49" fillId="0" borderId="3" xfId="0" applyFont="1" applyBorder="1"/>
    <xf numFmtId="0" fontId="47" fillId="0" borderId="3" xfId="0" applyFont="1" applyBorder="1"/>
    <xf numFmtId="165" fontId="47" fillId="0" borderId="3" xfId="0" applyNumberFormat="1" applyFont="1" applyBorder="1"/>
    <xf numFmtId="165" fontId="47" fillId="0" borderId="48" xfId="0" applyNumberFormat="1" applyFont="1" applyBorder="1"/>
    <xf numFmtId="165" fontId="47" fillId="0" borderId="63" xfId="0" applyNumberFormat="1" applyFont="1" applyBorder="1"/>
    <xf numFmtId="15" fontId="48" fillId="0" borderId="0" xfId="0" applyNumberFormat="1" applyFont="1" applyAlignment="1">
      <alignment horizontal="right" vertical="center"/>
    </xf>
    <xf numFmtId="15" fontId="48" fillId="0" borderId="52" xfId="0" applyNumberFormat="1" applyFont="1" applyBorder="1" applyAlignment="1">
      <alignment horizontal="right" vertical="center"/>
    </xf>
    <xf numFmtId="15" fontId="48" fillId="0" borderId="62" xfId="0" applyNumberFormat="1" applyFont="1" applyBorder="1" applyAlignment="1">
      <alignment horizontal="right" vertical="center"/>
    </xf>
    <xf numFmtId="15" fontId="48" fillId="0" borderId="66" xfId="0" applyNumberFormat="1" applyFont="1" applyBorder="1" applyAlignment="1">
      <alignment horizontal="right" vertical="center"/>
    </xf>
    <xf numFmtId="15" fontId="48" fillId="0" borderId="47" xfId="0" applyNumberFormat="1" applyFont="1" applyBorder="1" applyAlignment="1">
      <alignment horizontal="right" vertical="center"/>
    </xf>
    <xf numFmtId="174" fontId="47" fillId="0" borderId="0" xfId="0" applyNumberFormat="1" applyFont="1"/>
    <xf numFmtId="168" fontId="47" fillId="0" borderId="47" xfId="0" applyNumberFormat="1" applyFont="1" applyBorder="1"/>
    <xf numFmtId="168" fontId="47" fillId="0" borderId="62" xfId="0" applyNumberFormat="1" applyFont="1" applyBorder="1"/>
    <xf numFmtId="174" fontId="48" fillId="0" borderId="62" xfId="0" applyNumberFormat="1" applyFont="1" applyBorder="1"/>
    <xf numFmtId="166" fontId="50" fillId="0" borderId="0" xfId="0" applyNumberFormat="1" applyFont="1" applyAlignment="1">
      <alignment horizontal="center"/>
    </xf>
    <xf numFmtId="166" fontId="50" fillId="0" borderId="62" xfId="0" applyNumberFormat="1" applyFont="1" applyBorder="1" applyAlignment="1">
      <alignment horizontal="center"/>
    </xf>
    <xf numFmtId="166" fontId="50" fillId="0" borderId="66" xfId="0" applyNumberFormat="1" applyFont="1" applyBorder="1" applyAlignment="1">
      <alignment horizontal="center"/>
    </xf>
    <xf numFmtId="0" fontId="57" fillId="0" borderId="3" xfId="0" applyFont="1" applyBorder="1" applyAlignment="1">
      <alignment horizontal="left"/>
    </xf>
    <xf numFmtId="0" fontId="56" fillId="0" borderId="3" xfId="0" applyFont="1" applyBorder="1" applyAlignment="1">
      <alignment horizontal="left"/>
    </xf>
    <xf numFmtId="0" fontId="57" fillId="0" borderId="48" xfId="0" applyFont="1" applyBorder="1" applyAlignment="1">
      <alignment horizontal="left"/>
    </xf>
    <xf numFmtId="0" fontId="57" fillId="0" borderId="63" xfId="0" applyFont="1" applyBorder="1" applyAlignment="1">
      <alignment horizontal="left"/>
    </xf>
    <xf numFmtId="169" fontId="47" fillId="0" borderId="0" xfId="0" applyNumberFormat="1" applyFont="1"/>
    <xf numFmtId="169" fontId="50" fillId="0" borderId="62" xfId="0" applyNumberFormat="1" applyFont="1" applyBorder="1"/>
    <xf numFmtId="169" fontId="85" fillId="0" borderId="0" xfId="0" applyNumberFormat="1" applyFont="1"/>
    <xf numFmtId="0" fontId="47" fillId="0" borderId="4" xfId="0" applyFont="1" applyBorder="1" applyAlignment="1">
      <alignment horizontal="left" indent="1"/>
    </xf>
    <xf numFmtId="0" fontId="49" fillId="0" borderId="4" xfId="0" applyFont="1" applyBorder="1" applyAlignment="1">
      <alignment horizontal="center"/>
    </xf>
    <xf numFmtId="0" fontId="47" fillId="0" borderId="4" xfId="0" applyFont="1" applyBorder="1"/>
    <xf numFmtId="176" fontId="47" fillId="0" borderId="4" xfId="0" applyNumberFormat="1" applyFont="1" applyBorder="1"/>
    <xf numFmtId="0" fontId="47" fillId="0" borderId="49" xfId="0" applyFont="1" applyBorder="1"/>
    <xf numFmtId="167" fontId="47" fillId="0" borderId="64" xfId="0" applyNumberFormat="1" applyFont="1" applyBorder="1"/>
    <xf numFmtId="176" fontId="85" fillId="0" borderId="64" xfId="0" applyNumberFormat="1" applyFont="1" applyBorder="1"/>
    <xf numFmtId="0" fontId="57" fillId="0" borderId="47" xfId="0" applyFont="1" applyBorder="1"/>
    <xf numFmtId="167" fontId="57" fillId="0" borderId="62" xfId="0" applyNumberFormat="1" applyFont="1" applyBorder="1"/>
    <xf numFmtId="176" fontId="57" fillId="0" borderId="62" xfId="0" applyNumberFormat="1" applyFont="1" applyBorder="1"/>
    <xf numFmtId="166" fontId="47" fillId="0" borderId="62" xfId="0" applyNumberFormat="1" applyFont="1" applyBorder="1"/>
    <xf numFmtId="166" fontId="50" fillId="0" borderId="62" xfId="0" applyNumberFormat="1" applyFont="1" applyBorder="1"/>
    <xf numFmtId="166" fontId="85" fillId="0" borderId="0" xfId="0" applyNumberFormat="1" applyFont="1"/>
    <xf numFmtId="176" fontId="48" fillId="0" borderId="4" xfId="0" applyNumberFormat="1" applyFont="1" applyBorder="1"/>
    <xf numFmtId="0" fontId="47" fillId="0" borderId="50" xfId="0" applyFont="1" applyBorder="1"/>
    <xf numFmtId="176" fontId="47" fillId="0" borderId="65" xfId="0" applyNumberFormat="1" applyFont="1" applyBorder="1"/>
    <xf numFmtId="166" fontId="47" fillId="0" borderId="0" xfId="0" applyNumberFormat="1" applyFont="1" applyAlignment="1">
      <alignment horizontal="left"/>
    </xf>
    <xf numFmtId="0" fontId="57" fillId="0" borderId="47" xfId="0" applyFont="1" applyBorder="1" applyAlignment="1">
      <alignment horizontal="left"/>
    </xf>
    <xf numFmtId="166" fontId="47" fillId="0" borderId="62" xfId="0" applyNumberFormat="1" applyFont="1" applyBorder="1" applyAlignment="1">
      <alignment horizontal="left"/>
    </xf>
    <xf numFmtId="166" fontId="50" fillId="0" borderId="62" xfId="0" applyNumberFormat="1" applyFont="1" applyBorder="1" applyAlignment="1">
      <alignment horizontal="left"/>
    </xf>
    <xf numFmtId="166" fontId="85" fillId="0" borderId="0" xfId="0" applyNumberFormat="1" applyFont="1" applyAlignment="1">
      <alignment horizontal="left"/>
    </xf>
    <xf numFmtId="176" fontId="48" fillId="0" borderId="62" xfId="0" applyNumberFormat="1" applyFont="1" applyBorder="1" applyAlignment="1">
      <alignment horizontal="left"/>
    </xf>
    <xf numFmtId="176" fontId="48" fillId="0" borderId="0" xfId="0" applyNumberFormat="1" applyFont="1" applyAlignment="1">
      <alignment horizontal="left"/>
    </xf>
    <xf numFmtId="179" fontId="48" fillId="0" borderId="0" xfId="0" applyNumberFormat="1" applyFont="1" applyAlignment="1">
      <alignment horizontal="left"/>
    </xf>
    <xf numFmtId="179" fontId="50" fillId="0" borderId="62" xfId="0" applyNumberFormat="1" applyFont="1" applyBorder="1" applyAlignment="1">
      <alignment horizontal="left"/>
    </xf>
    <xf numFmtId="179" fontId="85" fillId="0" borderId="0" xfId="0" applyNumberFormat="1" applyFont="1" applyAlignment="1">
      <alignment horizontal="left"/>
    </xf>
    <xf numFmtId="179" fontId="47" fillId="0" borderId="0" xfId="0" applyNumberFormat="1" applyFont="1" applyAlignment="1">
      <alignment horizontal="left"/>
    </xf>
    <xf numFmtId="179" fontId="48" fillId="0" borderId="62" xfId="0" applyNumberFormat="1" applyFont="1" applyBorder="1" applyAlignment="1">
      <alignment horizontal="left"/>
    </xf>
    <xf numFmtId="179" fontId="85" fillId="0" borderId="62" xfId="0" applyNumberFormat="1" applyFont="1" applyBorder="1" applyAlignment="1">
      <alignment horizontal="left"/>
    </xf>
    <xf numFmtId="176" fontId="48" fillId="0" borderId="62" xfId="0" applyNumberFormat="1" applyFont="1" applyBorder="1"/>
    <xf numFmtId="176" fontId="85" fillId="0" borderId="62" xfId="0" applyNumberFormat="1" applyFont="1" applyBorder="1" applyAlignment="1">
      <alignment horizontal="left"/>
    </xf>
    <xf numFmtId="176" fontId="48" fillId="0" borderId="65" xfId="0" applyNumberFormat="1" applyFont="1" applyBorder="1"/>
    <xf numFmtId="0" fontId="47" fillId="0" borderId="65" xfId="0" applyFont="1" applyBorder="1"/>
    <xf numFmtId="166" fontId="48" fillId="0" borderId="62" xfId="0" applyNumberFormat="1" applyFont="1" applyBorder="1"/>
    <xf numFmtId="176" fontId="47" fillId="0" borderId="62" xfId="0" applyNumberFormat="1" applyFont="1" applyBorder="1"/>
    <xf numFmtId="176" fontId="85" fillId="0" borderId="62" xfId="0" applyNumberFormat="1" applyFont="1" applyBorder="1"/>
    <xf numFmtId="176" fontId="85" fillId="0" borderId="65" xfId="0" applyNumberFormat="1" applyFont="1" applyBorder="1"/>
    <xf numFmtId="176" fontId="47" fillId="0" borderId="0" xfId="0" applyNumberFormat="1" applyFont="1" applyAlignment="1">
      <alignment horizontal="left"/>
    </xf>
    <xf numFmtId="176" fontId="47" fillId="0" borderId="62" xfId="0" applyNumberFormat="1" applyFont="1" applyBorder="1" applyAlignment="1">
      <alignment horizontal="left"/>
    </xf>
    <xf numFmtId="176" fontId="47" fillId="0" borderId="2" xfId="0" applyNumberFormat="1" applyFont="1" applyBorder="1" applyAlignment="1">
      <alignment horizontal="left"/>
    </xf>
    <xf numFmtId="0" fontId="57" fillId="0" borderId="50" xfId="0" applyFont="1" applyBorder="1" applyAlignment="1">
      <alignment horizontal="left"/>
    </xf>
    <xf numFmtId="168" fontId="57" fillId="0" borderId="65" xfId="0" applyNumberFormat="1" applyFont="1" applyBorder="1" applyAlignment="1">
      <alignment horizontal="left"/>
    </xf>
    <xf numFmtId="176" fontId="47" fillId="0" borderId="65" xfId="0" applyNumberFormat="1" applyFont="1" applyBorder="1" applyAlignment="1">
      <alignment horizontal="left"/>
    </xf>
    <xf numFmtId="176" fontId="57" fillId="0" borderId="0" xfId="0" applyNumberFormat="1" applyFont="1" applyAlignment="1">
      <alignment horizontal="left"/>
    </xf>
    <xf numFmtId="176" fontId="57" fillId="0" borderId="62" xfId="0" applyNumberFormat="1" applyFont="1" applyBorder="1" applyAlignment="1">
      <alignment horizontal="left"/>
    </xf>
    <xf numFmtId="180" fontId="47" fillId="0" borderId="0" xfId="0" applyNumberFormat="1" applyFont="1"/>
    <xf numFmtId="180" fontId="47" fillId="0" borderId="62" xfId="0" applyNumberFormat="1" applyFont="1" applyBorder="1"/>
    <xf numFmtId="180" fontId="50" fillId="0" borderId="62" xfId="0" applyNumberFormat="1" applyFont="1" applyBorder="1"/>
    <xf numFmtId="180" fontId="85" fillId="0" borderId="0" xfId="0" applyNumberFormat="1" applyFont="1"/>
    <xf numFmtId="176" fontId="57" fillId="0" borderId="67" xfId="0" applyNumberFormat="1" applyFont="1" applyBorder="1"/>
    <xf numFmtId="176" fontId="47" fillId="0" borderId="66" xfId="0" applyNumberFormat="1" applyFont="1" applyBorder="1"/>
    <xf numFmtId="0" fontId="56" fillId="0" borderId="2" xfId="0" applyFont="1" applyBorder="1" applyAlignment="1">
      <alignment horizontal="center"/>
    </xf>
    <xf numFmtId="166" fontId="47" fillId="0" borderId="65" xfId="0" applyNumberFormat="1" applyFont="1" applyBorder="1"/>
    <xf numFmtId="166" fontId="85" fillId="0" borderId="65" xfId="0" applyNumberFormat="1" applyFont="1" applyBorder="1"/>
    <xf numFmtId="176" fontId="57" fillId="0" borderId="47" xfId="0" applyNumberFormat="1" applyFont="1" applyBorder="1"/>
    <xf numFmtId="0" fontId="57" fillId="0" borderId="50" xfId="0" applyFont="1" applyBorder="1"/>
    <xf numFmtId="176" fontId="57" fillId="0" borderId="65" xfId="0" applyNumberFormat="1" applyFont="1" applyBorder="1"/>
    <xf numFmtId="0" fontId="60" fillId="0" borderId="0" xfId="0" applyFont="1"/>
    <xf numFmtId="176" fontId="60" fillId="0" borderId="0" xfId="0" applyNumberFormat="1" applyFont="1"/>
    <xf numFmtId="176" fontId="61" fillId="0" borderId="47" xfId="0" applyNumberFormat="1" applyFont="1" applyBorder="1"/>
    <xf numFmtId="176" fontId="61" fillId="0" borderId="62" xfId="0" applyNumberFormat="1" applyFont="1" applyBorder="1"/>
    <xf numFmtId="166" fontId="57" fillId="0" borderId="2" xfId="0" applyNumberFormat="1" applyFont="1" applyBorder="1"/>
    <xf numFmtId="176" fontId="61" fillId="0" borderId="50" xfId="0" applyNumberFormat="1" applyFont="1" applyBorder="1"/>
    <xf numFmtId="176" fontId="61" fillId="0" borderId="65" xfId="0" applyNumberFormat="1" applyFont="1" applyBorder="1"/>
    <xf numFmtId="0" fontId="57" fillId="0" borderId="0" xfId="0" applyFont="1" applyAlignment="1">
      <alignment horizontal="left" indent="1"/>
    </xf>
    <xf numFmtId="176" fontId="73" fillId="0" borderId="0" xfId="0" applyNumberFormat="1" applyFont="1"/>
    <xf numFmtId="176" fontId="73" fillId="0" borderId="47" xfId="0" applyNumberFormat="1" applyFont="1" applyBorder="1"/>
    <xf numFmtId="176" fontId="73" fillId="0" borderId="62" xfId="0" applyNumberFormat="1" applyFont="1" applyBorder="1"/>
    <xf numFmtId="175" fontId="61" fillId="0" borderId="62" xfId="0" applyNumberFormat="1" applyFont="1" applyBorder="1"/>
    <xf numFmtId="175" fontId="60" fillId="0" borderId="2" xfId="0" applyNumberFormat="1" applyFont="1" applyBorder="1"/>
    <xf numFmtId="176" fontId="45" fillId="0" borderId="67" xfId="0" applyNumberFormat="1" applyFont="1" applyBorder="1"/>
    <xf numFmtId="176" fontId="45" fillId="0" borderId="62" xfId="0" applyNumberFormat="1" applyFont="1" applyBorder="1"/>
    <xf numFmtId="176" fontId="77" fillId="0" borderId="62" xfId="0" applyNumberFormat="1" applyFont="1" applyBorder="1"/>
    <xf numFmtId="175" fontId="51" fillId="0" borderId="2" xfId="0" applyNumberFormat="1" applyFont="1" applyBorder="1" applyAlignment="1">
      <alignment horizontal="center"/>
    </xf>
    <xf numFmtId="176" fontId="77" fillId="0" borderId="65" xfId="0" applyNumberFormat="1" applyFont="1" applyBorder="1"/>
    <xf numFmtId="177" fontId="46" fillId="0" borderId="0" xfId="0" applyNumberFormat="1" applyFont="1"/>
    <xf numFmtId="175" fontId="68" fillId="0" borderId="0" xfId="0" applyNumberFormat="1" applyFont="1"/>
    <xf numFmtId="175" fontId="68" fillId="0" borderId="67" xfId="0" applyNumberFormat="1" applyFont="1" applyBorder="1"/>
    <xf numFmtId="166" fontId="60" fillId="0" borderId="62" xfId="0" applyNumberFormat="1" applyFont="1" applyBorder="1"/>
    <xf numFmtId="183" fontId="48" fillId="0" borderId="2" xfId="0" applyNumberFormat="1" applyFont="1" applyBorder="1" applyAlignment="1">
      <alignment wrapText="1"/>
    </xf>
    <xf numFmtId="183" fontId="50" fillId="0" borderId="65" xfId="0" applyNumberFormat="1" applyFont="1" applyBorder="1" applyAlignment="1">
      <alignment wrapText="1"/>
    </xf>
    <xf numFmtId="183" fontId="86" fillId="0" borderId="2" xfId="0" applyNumberFormat="1" applyFont="1" applyBorder="1" applyAlignment="1">
      <alignment wrapText="1"/>
    </xf>
    <xf numFmtId="175" fontId="81" fillId="0" borderId="0" xfId="0" applyNumberFormat="1" applyFont="1"/>
    <xf numFmtId="166" fontId="73" fillId="0" borderId="0" xfId="0" applyNumberFormat="1" applyFont="1"/>
    <xf numFmtId="166" fontId="73" fillId="2" borderId="62" xfId="0" applyNumberFormat="1" applyFont="1" applyFill="1" applyBorder="1"/>
    <xf numFmtId="166" fontId="61" fillId="0" borderId="62" xfId="0" applyNumberFormat="1" applyFont="1" applyBorder="1"/>
    <xf numFmtId="179" fontId="60" fillId="0" borderId="0" xfId="0" applyNumberFormat="1" applyFont="1"/>
    <xf numFmtId="179" fontId="60" fillId="0" borderId="2" xfId="0" applyNumberFormat="1" applyFont="1" applyBorder="1"/>
    <xf numFmtId="176" fontId="57" fillId="0" borderId="2" xfId="0" applyNumberFormat="1" applyFont="1" applyBorder="1"/>
    <xf numFmtId="169" fontId="61" fillId="0" borderId="0" xfId="0" applyNumberFormat="1" applyFont="1"/>
    <xf numFmtId="0" fontId="73" fillId="0" borderId="47" xfId="0" applyFont="1" applyBorder="1"/>
    <xf numFmtId="166" fontId="73" fillId="0" borderId="62" xfId="0" applyNumberFormat="1" applyFont="1" applyBorder="1"/>
    <xf numFmtId="176" fontId="50" fillId="0" borderId="62" xfId="0" applyNumberFormat="1" applyFont="1" applyBorder="1"/>
    <xf numFmtId="166" fontId="57" fillId="0" borderId="3" xfId="0" applyNumberFormat="1" applyFont="1" applyBorder="1" applyAlignment="1">
      <alignment horizontal="left"/>
    </xf>
    <xf numFmtId="176" fontId="57" fillId="0" borderId="3" xfId="0" applyNumberFormat="1" applyFont="1" applyBorder="1" applyAlignment="1">
      <alignment horizontal="left"/>
    </xf>
    <xf numFmtId="176" fontId="47" fillId="0" borderId="47" xfId="0" applyNumberFormat="1" applyFont="1" applyBorder="1"/>
    <xf numFmtId="167" fontId="48" fillId="0" borderId="62" xfId="0" applyNumberFormat="1" applyFont="1" applyBorder="1"/>
    <xf numFmtId="176" fontId="48" fillId="0" borderId="14" xfId="0" applyNumberFormat="1" applyFont="1" applyBorder="1"/>
    <xf numFmtId="167" fontId="46" fillId="0" borderId="0" xfId="0" applyNumberFormat="1" applyFont="1"/>
    <xf numFmtId="167" fontId="46" fillId="0" borderId="62" xfId="0" applyNumberFormat="1" applyFont="1" applyBorder="1"/>
    <xf numFmtId="168" fontId="50" fillId="0" borderId="0" xfId="0" applyNumberFormat="1" applyFont="1"/>
    <xf numFmtId="168" fontId="48" fillId="0" borderId="62" xfId="0" applyNumberFormat="1" applyFont="1" applyBorder="1"/>
    <xf numFmtId="168" fontId="54" fillId="0" borderId="0" xfId="0" applyNumberFormat="1" applyFont="1"/>
    <xf numFmtId="176" fontId="50" fillId="0" borderId="51" xfId="0" applyNumberFormat="1" applyFont="1" applyBorder="1"/>
    <xf numFmtId="168" fontId="54" fillId="0" borderId="65" xfId="0" applyNumberFormat="1" applyFont="1" applyBorder="1"/>
    <xf numFmtId="168" fontId="54" fillId="0" borderId="2" xfId="0" applyNumberFormat="1" applyFont="1" applyBorder="1"/>
    <xf numFmtId="176" fontId="46" fillId="0" borderId="62" xfId="0" applyNumberFormat="1" applyFont="1" applyBorder="1"/>
    <xf numFmtId="166" fontId="61" fillId="0" borderId="47" xfId="0" applyNumberFormat="1" applyFont="1" applyBorder="1"/>
    <xf numFmtId="176" fontId="85" fillId="0" borderId="66" xfId="0" applyNumberFormat="1" applyFont="1" applyBorder="1"/>
    <xf numFmtId="176" fontId="54" fillId="0" borderId="2" xfId="0" applyNumberFormat="1" applyFont="1" applyBorder="1"/>
    <xf numFmtId="176" fontId="50" fillId="0" borderId="47" xfId="0" applyNumberFormat="1" applyFont="1" applyBorder="1"/>
    <xf numFmtId="179" fontId="52" fillId="0" borderId="47" xfId="0" applyNumberFormat="1" applyFont="1" applyBorder="1"/>
    <xf numFmtId="179" fontId="52" fillId="0" borderId="0" xfId="0" applyNumberFormat="1" applyFont="1"/>
    <xf numFmtId="176" fontId="52" fillId="0" borderId="62" xfId="0" applyNumberFormat="1" applyFont="1" applyBorder="1"/>
    <xf numFmtId="181" fontId="47" fillId="0" borderId="0" xfId="0" applyNumberFormat="1" applyFont="1"/>
    <xf numFmtId="181" fontId="47" fillId="0" borderId="62" xfId="0" applyNumberFormat="1" applyFont="1" applyBorder="1"/>
    <xf numFmtId="167" fontId="47" fillId="0" borderId="62" xfId="0" applyNumberFormat="1" applyFont="1" applyBorder="1"/>
    <xf numFmtId="176" fontId="47" fillId="0" borderId="62" xfId="0" applyNumberFormat="1" applyFont="1" applyBorder="1" applyAlignment="1">
      <alignment horizontal="left" indent="1"/>
    </xf>
    <xf numFmtId="176" fontId="87" fillId="0" borderId="0" xfId="0" applyNumberFormat="1" applyFont="1"/>
    <xf numFmtId="0" fontId="61" fillId="0" borderId="47" xfId="0" applyFont="1" applyBorder="1"/>
    <xf numFmtId="0" fontId="61" fillId="0" borderId="62" xfId="0" applyFont="1" applyBorder="1"/>
    <xf numFmtId="176" fontId="87" fillId="0" borderId="62" xfId="0" applyNumberFormat="1" applyFont="1" applyBorder="1"/>
    <xf numFmtId="0" fontId="57" fillId="0" borderId="62" xfId="0" applyFont="1" applyBorder="1"/>
    <xf numFmtId="168" fontId="47" fillId="0" borderId="66" xfId="0" applyNumberFormat="1" applyFont="1" applyBorder="1"/>
    <xf numFmtId="176" fontId="47" fillId="0" borderId="2" xfId="0" applyNumberFormat="1" applyFont="1" applyBorder="1" applyAlignment="1">
      <alignment horizontal="left" indent="1"/>
    </xf>
    <xf numFmtId="166" fontId="86" fillId="0" borderId="0" xfId="0" applyNumberFormat="1" applyFont="1"/>
    <xf numFmtId="0" fontId="47" fillId="9" borderId="2" xfId="0" applyFont="1" applyFill="1" applyBorder="1" applyAlignment="1">
      <alignment horizontal="left" indent="1"/>
    </xf>
    <xf numFmtId="43" fontId="57" fillId="0" borderId="63" xfId="0" applyNumberFormat="1" applyFont="1" applyBorder="1" applyAlignment="1">
      <alignment horizontal="left"/>
    </xf>
    <xf numFmtId="182" fontId="57" fillId="0" borderId="3" xfId="0" applyNumberFormat="1" applyFont="1" applyBorder="1" applyAlignment="1">
      <alignment horizontal="left"/>
    </xf>
    <xf numFmtId="175" fontId="48" fillId="0" borderId="0" xfId="0" applyNumberFormat="1" applyFont="1" applyAlignment="1">
      <alignment horizontal="right"/>
    </xf>
    <xf numFmtId="0" fontId="57" fillId="0" borderId="62" xfId="0" applyFont="1" applyBorder="1" applyAlignment="1">
      <alignment horizontal="left"/>
    </xf>
    <xf numFmtId="175" fontId="50" fillId="0" borderId="62" xfId="0" applyNumberFormat="1" applyFont="1" applyBorder="1" applyAlignment="1">
      <alignment horizontal="right"/>
    </xf>
    <xf numFmtId="175" fontId="86" fillId="0" borderId="0" xfId="0" applyNumberFormat="1" applyFont="1" applyAlignment="1">
      <alignment horizontal="right"/>
    </xf>
    <xf numFmtId="175" fontId="47" fillId="0" borderId="2" xfId="0" applyNumberFormat="1" applyFont="1" applyBorder="1" applyAlignment="1">
      <alignment horizontal="left"/>
    </xf>
    <xf numFmtId="175" fontId="47" fillId="0" borderId="65" xfId="0" applyNumberFormat="1" applyFont="1" applyBorder="1" applyAlignment="1">
      <alignment horizontal="left"/>
    </xf>
    <xf numFmtId="176" fontId="48" fillId="0" borderId="65" xfId="0" applyNumberFormat="1" applyFont="1" applyBorder="1" applyAlignment="1">
      <alignment horizontal="left"/>
    </xf>
    <xf numFmtId="176" fontId="86" fillId="0" borderId="2" xfId="0" applyNumberFormat="1" applyFont="1" applyBorder="1" applyAlignment="1">
      <alignment horizontal="left"/>
    </xf>
    <xf numFmtId="0" fontId="57" fillId="0" borderId="3" xfId="0" applyFont="1" applyBorder="1" applyAlignment="1">
      <alignment horizontal="right"/>
    </xf>
    <xf numFmtId="0" fontId="88" fillId="0" borderId="0" xfId="0" applyFont="1" applyAlignment="1">
      <alignment horizontal="centerContinuous"/>
    </xf>
    <xf numFmtId="166" fontId="61" fillId="0" borderId="0" xfId="0" applyNumberFormat="1" applyFont="1" applyAlignment="1">
      <alignment horizontal="left"/>
    </xf>
    <xf numFmtId="175" fontId="61" fillId="0" borderId="0" xfId="0" applyNumberFormat="1" applyFont="1" applyAlignment="1">
      <alignment horizontal="left"/>
    </xf>
    <xf numFmtId="176" fontId="50" fillId="0" borderId="62" xfId="0" applyNumberFormat="1" applyFont="1" applyBorder="1" applyAlignment="1">
      <alignment horizontal="left"/>
    </xf>
    <xf numFmtId="3" fontId="48" fillId="0" borderId="0" xfId="0" applyNumberFormat="1" applyFont="1" applyAlignment="1">
      <alignment horizontal="right"/>
    </xf>
    <xf numFmtId="3" fontId="50" fillId="0" borderId="62" xfId="0" applyNumberFormat="1" applyFont="1" applyBorder="1" applyAlignment="1">
      <alignment horizontal="right"/>
    </xf>
    <xf numFmtId="3" fontId="86" fillId="0" borderId="0" xfId="0" applyNumberFormat="1" applyFont="1" applyAlignment="1">
      <alignment horizontal="right"/>
    </xf>
    <xf numFmtId="176" fontId="48" fillId="0" borderId="0" xfId="0" applyNumberFormat="1" applyFont="1" applyAlignment="1">
      <alignment horizontal="right"/>
    </xf>
    <xf numFmtId="176" fontId="48" fillId="0" borderId="62" xfId="0" applyNumberFormat="1" applyFont="1" applyBorder="1" applyAlignment="1">
      <alignment horizontal="right"/>
    </xf>
    <xf numFmtId="176" fontId="47" fillId="0" borderId="47" xfId="0" applyNumberFormat="1" applyFont="1" applyBorder="1" applyAlignment="1">
      <alignment horizontal="left"/>
    </xf>
    <xf numFmtId="168" fontId="57" fillId="0" borderId="0" xfId="0" applyNumberFormat="1" applyFont="1" applyAlignment="1">
      <alignment horizontal="left"/>
    </xf>
    <xf numFmtId="0" fontId="47" fillId="9" borderId="0" xfId="0" applyFont="1" applyFill="1" applyAlignment="1">
      <alignment horizontal="left" indent="1"/>
    </xf>
    <xf numFmtId="0" fontId="61" fillId="0" borderId="0" xfId="0" applyFont="1" applyAlignment="1">
      <alignment horizontal="right"/>
    </xf>
    <xf numFmtId="43" fontId="47" fillId="0" borderId="62" xfId="0" applyNumberFormat="1" applyFont="1" applyBorder="1"/>
    <xf numFmtId="169" fontId="47" fillId="0" borderId="62" xfId="0" applyNumberFormat="1" applyFont="1" applyBorder="1"/>
    <xf numFmtId="175" fontId="47" fillId="0" borderId="62" xfId="0" applyNumberFormat="1" applyFont="1" applyBorder="1"/>
    <xf numFmtId="166" fontId="61" fillId="0" borderId="62" xfId="0" applyNumberFormat="1" applyFont="1" applyBorder="1" applyAlignment="1">
      <alignment horizontal="left"/>
    </xf>
    <xf numFmtId="166" fontId="50" fillId="0" borderId="0" xfId="0" applyNumberFormat="1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65" xfId="0" applyFont="1" applyBorder="1" applyAlignment="1">
      <alignment horizontal="left"/>
    </xf>
    <xf numFmtId="175" fontId="50" fillId="0" borderId="0" xfId="0" applyNumberFormat="1" applyFont="1" applyAlignment="1">
      <alignment horizontal="left"/>
    </xf>
    <xf numFmtId="177" fontId="47" fillId="0" borderId="47" xfId="0" applyNumberFormat="1" applyFont="1" applyBorder="1"/>
    <xf numFmtId="177" fontId="47" fillId="0" borderId="62" xfId="0" applyNumberFormat="1" applyFont="1" applyBorder="1"/>
    <xf numFmtId="193" fontId="48" fillId="0" borderId="0" xfId="0" applyNumberFormat="1" applyFont="1" applyAlignment="1">
      <alignment horizontal="right"/>
    </xf>
    <xf numFmtId="193" fontId="47" fillId="0" borderId="62" xfId="0" applyNumberFormat="1" applyFont="1" applyBorder="1"/>
    <xf numFmtId="193" fontId="47" fillId="0" borderId="0" xfId="0" applyNumberFormat="1" applyFont="1"/>
    <xf numFmtId="166" fontId="48" fillId="0" borderId="2" xfId="0" applyNumberFormat="1" applyFont="1" applyBorder="1" applyAlignment="1">
      <alignment horizontal="right"/>
    </xf>
    <xf numFmtId="0" fontId="73" fillId="0" borderId="62" xfId="0" applyFont="1" applyBorder="1"/>
    <xf numFmtId="0" fontId="56" fillId="0" borderId="0" xfId="0" applyFont="1"/>
    <xf numFmtId="167" fontId="57" fillId="0" borderId="0" xfId="0" applyNumberFormat="1" applyFont="1"/>
    <xf numFmtId="166" fontId="50" fillId="0" borderId="2" xfId="0" applyNumberFormat="1" applyFont="1" applyBorder="1"/>
    <xf numFmtId="168" fontId="57" fillId="0" borderId="62" xfId="0" applyNumberFormat="1" applyFont="1" applyBorder="1"/>
    <xf numFmtId="0" fontId="57" fillId="0" borderId="0" xfId="0" applyFont="1" applyAlignment="1">
      <alignment horizontal="right"/>
    </xf>
    <xf numFmtId="166" fontId="53" fillId="0" borderId="0" xfId="0" applyNumberFormat="1" applyFont="1"/>
    <xf numFmtId="194" fontId="57" fillId="0" borderId="0" xfId="0" applyNumberFormat="1" applyFont="1"/>
    <xf numFmtId="194" fontId="47" fillId="0" borderId="0" xfId="0" applyNumberFormat="1" applyFont="1"/>
    <xf numFmtId="194" fontId="73" fillId="0" borderId="0" xfId="0" applyNumberFormat="1" applyFont="1" applyAlignment="1">
      <alignment horizontal="right"/>
    </xf>
    <xf numFmtId="194" fontId="61" fillId="0" borderId="0" xfId="0" applyNumberFormat="1" applyFont="1"/>
    <xf numFmtId="194" fontId="47" fillId="0" borderId="62" xfId="0" applyNumberFormat="1" applyFont="1" applyBorder="1"/>
    <xf numFmtId="194" fontId="57" fillId="0" borderId="62" xfId="0" applyNumberFormat="1" applyFont="1" applyBorder="1"/>
    <xf numFmtId="9" fontId="47" fillId="0" borderId="0" xfId="0" applyNumberFormat="1" applyFont="1" applyAlignment="1">
      <alignment horizontal="left" indent="1"/>
    </xf>
    <xf numFmtId="194" fontId="52" fillId="0" borderId="0" xfId="0" applyNumberFormat="1" applyFont="1" applyAlignment="1">
      <alignment horizontal="centerContinuous"/>
    </xf>
    <xf numFmtId="0" fontId="73" fillId="0" borderId="3" xfId="0" applyFont="1" applyBorder="1" applyAlignment="1">
      <alignment horizontal="right"/>
    </xf>
    <xf numFmtId="0" fontId="76" fillId="5" borderId="6" xfId="0" applyFont="1" applyFill="1" applyBorder="1"/>
    <xf numFmtId="0" fontId="76" fillId="7" borderId="6" xfId="0" applyFont="1" applyFill="1" applyBorder="1" applyAlignment="1">
      <alignment horizontal="center"/>
    </xf>
    <xf numFmtId="0" fontId="76" fillId="7" borderId="6" xfId="0" applyFont="1" applyFill="1" applyBorder="1"/>
    <xf numFmtId="0" fontId="79" fillId="7" borderId="6" xfId="0" applyFont="1" applyFill="1" applyBorder="1" applyAlignment="1">
      <alignment horizontal="right"/>
    </xf>
    <xf numFmtId="166" fontId="61" fillId="0" borderId="0" xfId="0" applyNumberFormat="1" applyFont="1" applyAlignment="1">
      <alignment horizontal="right"/>
    </xf>
    <xf numFmtId="166" fontId="61" fillId="0" borderId="2" xfId="0" applyNumberFormat="1" applyFont="1" applyBorder="1" applyAlignment="1">
      <alignment horizontal="right"/>
    </xf>
    <xf numFmtId="168" fontId="57" fillId="0" borderId="0" xfId="0" applyNumberFormat="1" applyFont="1"/>
    <xf numFmtId="166" fontId="73" fillId="0" borderId="0" xfId="0" applyNumberFormat="1" applyFont="1" applyAlignment="1">
      <alignment horizontal="right"/>
    </xf>
    <xf numFmtId="0" fontId="57" fillId="2" borderId="0" xfId="0" applyFont="1" applyFill="1"/>
    <xf numFmtId="0" fontId="47" fillId="2" borderId="0" xfId="0" applyFont="1" applyFill="1" applyAlignment="1">
      <alignment horizontal="left" indent="1"/>
    </xf>
    <xf numFmtId="0" fontId="49" fillId="2" borderId="0" xfId="0" applyFont="1" applyFill="1" applyAlignment="1">
      <alignment horizontal="center"/>
    </xf>
    <xf numFmtId="168" fontId="54" fillId="2" borderId="0" xfId="0" applyNumberFormat="1" applyFont="1" applyFill="1"/>
    <xf numFmtId="166" fontId="61" fillId="2" borderId="0" xfId="0" applyNumberFormat="1" applyFont="1" applyFill="1" applyAlignment="1">
      <alignment horizontal="right"/>
    </xf>
    <xf numFmtId="0" fontId="87" fillId="2" borderId="0" xfId="0" applyFont="1" applyFill="1"/>
    <xf numFmtId="0" fontId="79" fillId="7" borderId="5" xfId="0" applyFont="1" applyFill="1" applyBorder="1" applyAlignment="1">
      <alignment horizontal="center"/>
    </xf>
    <xf numFmtId="0" fontId="47" fillId="2" borderId="0" xfId="0" applyFont="1" applyFill="1"/>
    <xf numFmtId="0" fontId="47" fillId="2" borderId="2" xfId="0" applyFont="1" applyFill="1" applyBorder="1" applyAlignment="1">
      <alignment horizontal="left" indent="1"/>
    </xf>
    <xf numFmtId="0" fontId="49" fillId="2" borderId="2" xfId="0" applyFont="1" applyFill="1" applyBorder="1" applyAlignment="1">
      <alignment horizontal="center"/>
    </xf>
    <xf numFmtId="168" fontId="54" fillId="2" borderId="2" xfId="0" applyNumberFormat="1" applyFont="1" applyFill="1" applyBorder="1"/>
    <xf numFmtId="166" fontId="73" fillId="2" borderId="0" xfId="0" applyNumberFormat="1" applyFont="1" applyFill="1" applyAlignment="1">
      <alignment horizontal="right"/>
    </xf>
    <xf numFmtId="166" fontId="50" fillId="3" borderId="35" xfId="0" applyNumberFormat="1" applyFont="1" applyFill="1" applyBorder="1"/>
    <xf numFmtId="168" fontId="73" fillId="0" borderId="0" xfId="0" applyNumberFormat="1" applyFont="1"/>
    <xf numFmtId="166" fontId="51" fillId="0" borderId="0" xfId="0" applyNumberFormat="1" applyFont="1" applyAlignment="1">
      <alignment horizontal="right"/>
    </xf>
    <xf numFmtId="166" fontId="51" fillId="0" borderId="2" xfId="0" applyNumberFormat="1" applyFont="1" applyBorder="1" applyAlignment="1">
      <alignment horizontal="right"/>
    </xf>
    <xf numFmtId="168" fontId="58" fillId="0" borderId="0" xfId="0" applyNumberFormat="1" applyFont="1"/>
    <xf numFmtId="166" fontId="55" fillId="0" borderId="0" xfId="0" applyNumberFormat="1" applyFont="1" applyAlignment="1">
      <alignment horizontal="right"/>
    </xf>
    <xf numFmtId="0" fontId="47" fillId="0" borderId="0" xfId="0" applyFont="1" applyAlignment="1">
      <alignment horizontal="left" indent="2"/>
    </xf>
    <xf numFmtId="0" fontId="47" fillId="0" borderId="2" xfId="0" applyFont="1" applyBorder="1" applyAlignment="1">
      <alignment horizontal="left" indent="2"/>
    </xf>
    <xf numFmtId="180" fontId="61" fillId="0" borderId="0" xfId="0" applyNumberFormat="1" applyFont="1"/>
    <xf numFmtId="180" fontId="61" fillId="0" borderId="2" xfId="0" applyNumberFormat="1" applyFont="1" applyBorder="1"/>
    <xf numFmtId="0" fontId="49" fillId="0" borderId="5" xfId="0" applyFont="1" applyBorder="1" applyAlignment="1">
      <alignment horizontal="center"/>
    </xf>
    <xf numFmtId="168" fontId="47" fillId="0" borderId="0" xfId="0" applyNumberFormat="1" applyFont="1" applyAlignment="1">
      <alignment horizontal="left" indent="1"/>
    </xf>
    <xf numFmtId="168" fontId="47" fillId="0" borderId="2" xfId="0" applyNumberFormat="1" applyFont="1" applyBorder="1" applyAlignment="1">
      <alignment horizontal="left" indent="1"/>
    </xf>
    <xf numFmtId="168" fontId="61" fillId="0" borderId="0" xfId="0" applyNumberFormat="1" applyFont="1"/>
    <xf numFmtId="168" fontId="46" fillId="0" borderId="0" xfId="0" applyNumberFormat="1" applyFont="1"/>
    <xf numFmtId="168" fontId="52" fillId="2" borderId="0" xfId="0" applyNumberFormat="1" applyFont="1" applyFill="1"/>
    <xf numFmtId="166" fontId="87" fillId="2" borderId="0" xfId="0" applyNumberFormat="1" applyFont="1" applyFill="1" applyAlignment="1">
      <alignment horizontal="right"/>
    </xf>
    <xf numFmtId="0" fontId="87" fillId="2" borderId="0" xfId="0" applyFont="1" applyFill="1" applyAlignment="1">
      <alignment horizontal="center"/>
    </xf>
    <xf numFmtId="0" fontId="53" fillId="0" borderId="0" xfId="0" applyFont="1"/>
    <xf numFmtId="0" fontId="89" fillId="0" borderId="0" xfId="0" applyFont="1" applyAlignment="1">
      <alignment horizontal="center"/>
    </xf>
    <xf numFmtId="168" fontId="53" fillId="0" borderId="0" xfId="0" applyNumberFormat="1" applyFont="1"/>
    <xf numFmtId="0" fontId="52" fillId="0" borderId="0" xfId="0" applyFont="1"/>
    <xf numFmtId="0" fontId="87" fillId="0" borderId="0" xfId="0" applyFont="1"/>
    <xf numFmtId="0" fontId="87" fillId="0" borderId="0" xfId="0" applyFont="1" applyAlignment="1">
      <alignment horizontal="center"/>
    </xf>
    <xf numFmtId="168" fontId="87" fillId="0" borderId="0" xfId="0" applyNumberFormat="1" applyFont="1"/>
    <xf numFmtId="17" fontId="76" fillId="5" borderId="5" xfId="0" applyNumberFormat="1" applyFont="1" applyFill="1" applyBorder="1" applyAlignment="1">
      <alignment horizontal="left"/>
    </xf>
    <xf numFmtId="17" fontId="76" fillId="5" borderId="5" xfId="0" applyNumberFormat="1" applyFont="1" applyFill="1" applyBorder="1" applyAlignment="1">
      <alignment horizontal="centerContinuous"/>
    </xf>
    <xf numFmtId="1" fontId="70" fillId="7" borderId="5" xfId="0" applyNumberFormat="1" applyFont="1" applyFill="1" applyBorder="1" applyAlignment="1">
      <alignment horizontal="left"/>
    </xf>
    <xf numFmtId="1" fontId="70" fillId="7" borderId="5" xfId="0" applyNumberFormat="1" applyFont="1" applyFill="1" applyBorder="1" applyAlignment="1">
      <alignment horizontal="center"/>
    </xf>
    <xf numFmtId="0" fontId="48" fillId="3" borderId="6" xfId="0" applyFont="1" applyFill="1" applyBorder="1" applyAlignment="1">
      <alignment horizontal="left"/>
    </xf>
    <xf numFmtId="0" fontId="51" fillId="3" borderId="6" xfId="0" applyFont="1" applyFill="1" applyBorder="1" applyAlignment="1">
      <alignment horizontal="center"/>
    </xf>
    <xf numFmtId="175" fontId="48" fillId="0" borderId="0" xfId="0" applyNumberFormat="1" applyFont="1" applyAlignment="1">
      <alignment horizontal="left" indent="1"/>
    </xf>
    <xf numFmtId="0" fontId="78" fillId="0" borderId="0" xfId="0" applyFont="1" applyAlignment="1">
      <alignment horizontal="center"/>
    </xf>
    <xf numFmtId="168" fontId="48" fillId="0" borderId="0" xfId="0" applyNumberFormat="1" applyFont="1" applyAlignment="1">
      <alignment horizontal="left"/>
    </xf>
    <xf numFmtId="177" fontId="48" fillId="0" borderId="0" xfId="0" applyNumberFormat="1" applyFont="1"/>
    <xf numFmtId="175" fontId="48" fillId="0" borderId="2" xfId="0" applyNumberFormat="1" applyFont="1" applyBorder="1" applyAlignment="1">
      <alignment horizontal="left" indent="1"/>
    </xf>
    <xf numFmtId="0" fontId="51" fillId="0" borderId="2" xfId="0" applyFont="1" applyBorder="1" applyAlignment="1">
      <alignment horizontal="center"/>
    </xf>
    <xf numFmtId="166" fontId="48" fillId="0" borderId="2" xfId="0" applyNumberFormat="1" applyFont="1" applyBorder="1"/>
    <xf numFmtId="177" fontId="48" fillId="0" borderId="2" xfId="0" applyNumberFormat="1" applyFont="1" applyBorder="1"/>
    <xf numFmtId="0" fontId="46" fillId="0" borderId="0" xfId="0" applyFont="1" applyAlignment="1">
      <alignment horizontal="left" indent="1"/>
    </xf>
    <xf numFmtId="166" fontId="46" fillId="0" borderId="0" xfId="0" applyNumberFormat="1" applyFont="1"/>
    <xf numFmtId="0" fontId="46" fillId="10" borderId="21" xfId="0" applyFont="1" applyFill="1" applyBorder="1" applyAlignment="1">
      <alignment horizontal="left"/>
    </xf>
    <xf numFmtId="15" fontId="51" fillId="10" borderId="22" xfId="0" applyNumberFormat="1" applyFont="1" applyFill="1" applyBorder="1" applyAlignment="1">
      <alignment horizontal="left"/>
    </xf>
    <xf numFmtId="15" fontId="51" fillId="10" borderId="23" xfId="0" applyNumberFormat="1" applyFont="1" applyFill="1" applyBorder="1" applyAlignment="1">
      <alignment horizontal="left"/>
    </xf>
    <xf numFmtId="15" fontId="51" fillId="10" borderId="24" xfId="0" applyNumberFormat="1" applyFont="1" applyFill="1" applyBorder="1" applyAlignment="1">
      <alignment horizontal="left"/>
    </xf>
    <xf numFmtId="0" fontId="90" fillId="11" borderId="25" xfId="4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/>
    </xf>
    <xf numFmtId="0" fontId="57" fillId="0" borderId="27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46" fillId="10" borderId="29" xfId="0" applyFont="1" applyFill="1" applyBorder="1" applyAlignment="1">
      <alignment horizontal="left"/>
    </xf>
    <xf numFmtId="0" fontId="90" fillId="10" borderId="30" xfId="4" applyFont="1" applyFill="1" applyBorder="1" applyAlignment="1">
      <alignment horizontal="left"/>
    </xf>
    <xf numFmtId="0" fontId="90" fillId="10" borderId="31" xfId="4" applyFont="1" applyFill="1" applyBorder="1" applyAlignment="1">
      <alignment horizontal="left"/>
    </xf>
    <xf numFmtId="0" fontId="90" fillId="10" borderId="32" xfId="4" applyFont="1" applyFill="1" applyBorder="1" applyAlignment="1">
      <alignment horizontal="left"/>
    </xf>
    <xf numFmtId="0" fontId="90" fillId="11" borderId="33" xfId="4" applyFont="1" applyFill="1" applyBorder="1" applyAlignment="1">
      <alignment horizontal="center" vertical="center" wrapText="1"/>
    </xf>
    <xf numFmtId="0" fontId="47" fillId="0" borderId="34" xfId="0" applyFont="1" applyBorder="1" applyAlignment="1">
      <alignment horizontal="left" vertical="top" wrapText="1"/>
    </xf>
    <xf numFmtId="0" fontId="47" fillId="0" borderId="35" xfId="0" applyFont="1" applyBorder="1" applyAlignment="1">
      <alignment horizontal="left" vertical="top" wrapText="1"/>
    </xf>
    <xf numFmtId="0" fontId="47" fillId="0" borderId="36" xfId="0" applyFont="1" applyBorder="1" applyAlignment="1">
      <alignment horizontal="left" vertical="top" wrapText="1"/>
    </xf>
    <xf numFmtId="0" fontId="77" fillId="10" borderId="30" xfId="0" applyFont="1" applyFill="1" applyBorder="1" applyAlignment="1">
      <alignment horizontal="left"/>
    </xf>
    <xf numFmtId="0" fontId="77" fillId="10" borderId="31" xfId="0" applyFont="1" applyFill="1" applyBorder="1" applyAlignment="1">
      <alignment horizontal="left"/>
    </xf>
    <xf numFmtId="0" fontId="77" fillId="10" borderId="34" xfId="0" applyFont="1" applyFill="1" applyBorder="1" applyAlignment="1">
      <alignment horizontal="left"/>
    </xf>
    <xf numFmtId="0" fontId="77" fillId="10" borderId="32" xfId="0" applyFont="1" applyFill="1" applyBorder="1" applyAlignment="1">
      <alignment horizontal="left"/>
    </xf>
    <xf numFmtId="15" fontId="90" fillId="10" borderId="30" xfId="4" applyNumberFormat="1" applyFont="1" applyFill="1" applyBorder="1" applyAlignment="1">
      <alignment horizontal="left"/>
    </xf>
    <xf numFmtId="15" fontId="90" fillId="10" borderId="31" xfId="4" applyNumberFormat="1" applyFont="1" applyFill="1" applyBorder="1" applyAlignment="1">
      <alignment horizontal="left"/>
    </xf>
    <xf numFmtId="15" fontId="90" fillId="10" borderId="32" xfId="4" applyNumberFormat="1" applyFont="1" applyFill="1" applyBorder="1" applyAlignment="1">
      <alignment horizontal="left"/>
    </xf>
    <xf numFmtId="0" fontId="90" fillId="10" borderId="30" xfId="4" applyFont="1" applyFill="1" applyBorder="1"/>
    <xf numFmtId="0" fontId="90" fillId="10" borderId="31" xfId="4" applyFont="1" applyFill="1" applyBorder="1"/>
    <xf numFmtId="0" fontId="90" fillId="10" borderId="32" xfId="4" applyFont="1" applyFill="1" applyBorder="1"/>
    <xf numFmtId="0" fontId="46" fillId="10" borderId="37" xfId="0" applyFont="1" applyFill="1" applyBorder="1" applyAlignment="1">
      <alignment horizontal="left"/>
    </xf>
    <xf numFmtId="0" fontId="90" fillId="10" borderId="7" xfId="4" applyFont="1" applyFill="1" applyBorder="1" applyAlignment="1">
      <alignment horizontal="left"/>
    </xf>
    <xf numFmtId="0" fontId="90" fillId="10" borderId="38" xfId="4" applyFont="1" applyFill="1" applyBorder="1" applyAlignment="1">
      <alignment horizontal="left"/>
    </xf>
    <xf numFmtId="0" fontId="90" fillId="10" borderId="39" xfId="4" applyFont="1" applyFill="1" applyBorder="1" applyAlignment="1">
      <alignment horizontal="left"/>
    </xf>
    <xf numFmtId="0" fontId="90" fillId="11" borderId="40" xfId="4" applyFont="1" applyFill="1" applyBorder="1" applyAlignment="1">
      <alignment horizontal="center" vertical="center" wrapText="1"/>
    </xf>
    <xf numFmtId="0" fontId="47" fillId="0" borderId="41" xfId="0" applyFont="1" applyBorder="1" applyAlignment="1">
      <alignment horizontal="left" vertical="top" wrapText="1"/>
    </xf>
    <xf numFmtId="0" fontId="47" fillId="0" borderId="42" xfId="0" applyFont="1" applyBorder="1" applyAlignment="1">
      <alignment horizontal="left" vertical="top" wrapText="1"/>
    </xf>
    <xf numFmtId="0" fontId="47" fillId="0" borderId="43" xfId="0" applyFont="1" applyBorder="1" applyAlignment="1">
      <alignment horizontal="left" vertical="top" wrapText="1"/>
    </xf>
    <xf numFmtId="0" fontId="68" fillId="0" borderId="44" xfId="0" applyFont="1" applyBorder="1" applyAlignment="1">
      <alignment horizontal="centerContinuous"/>
    </xf>
    <xf numFmtId="0" fontId="68" fillId="0" borderId="45" xfId="0" applyFont="1" applyBorder="1" applyAlignment="1">
      <alignment horizontal="centerContinuous"/>
    </xf>
    <xf numFmtId="0" fontId="68" fillId="0" borderId="46" xfId="0" applyFont="1" applyBorder="1" applyAlignment="1">
      <alignment horizontal="centerContinuous"/>
    </xf>
    <xf numFmtId="0" fontId="78" fillId="0" borderId="20" xfId="0" applyFont="1" applyBorder="1"/>
    <xf numFmtId="0" fontId="78" fillId="0" borderId="40" xfId="0" applyFont="1" applyBorder="1" applyAlignment="1">
      <alignment horizontal="center"/>
    </xf>
    <xf numFmtId="0" fontId="47" fillId="0" borderId="40" xfId="0" applyFont="1" applyBorder="1"/>
    <xf numFmtId="0" fontId="47" fillId="0" borderId="40" xfId="0" applyFont="1" applyBorder="1" applyAlignment="1">
      <alignment horizontal="center"/>
    </xf>
    <xf numFmtId="0" fontId="47" fillId="0" borderId="19" xfId="0" applyFont="1" applyBorder="1" applyAlignment="1">
      <alignment horizontal="center"/>
    </xf>
    <xf numFmtId="0" fontId="47" fillId="0" borderId="34" xfId="0" applyFont="1" applyBorder="1"/>
    <xf numFmtId="0" fontId="47" fillId="0" borderId="35" xfId="0" applyFont="1" applyBorder="1" applyAlignment="1">
      <alignment horizontal="center"/>
    </xf>
    <xf numFmtId="175" fontId="47" fillId="0" borderId="35" xfId="0" applyNumberFormat="1" applyFont="1" applyBorder="1" applyAlignment="1">
      <alignment horizontal="right"/>
    </xf>
    <xf numFmtId="175" fontId="47" fillId="0" borderId="30" xfId="0" applyNumberFormat="1" applyFont="1" applyBorder="1" applyAlignment="1">
      <alignment horizontal="right"/>
    </xf>
    <xf numFmtId="175" fontId="47" fillId="0" borderId="35" xfId="0" applyNumberFormat="1" applyFont="1" applyBorder="1" applyAlignment="1">
      <alignment horizontal="center"/>
    </xf>
    <xf numFmtId="175" fontId="47" fillId="0" borderId="30" xfId="0" applyNumberFormat="1" applyFont="1" applyBorder="1" applyAlignment="1">
      <alignment horizontal="center"/>
    </xf>
    <xf numFmtId="0" fontId="47" fillId="0" borderId="8" xfId="0" applyFont="1" applyBorder="1"/>
    <xf numFmtId="0" fontId="47" fillId="0" borderId="25" xfId="0" applyFont="1" applyBorder="1" applyAlignment="1">
      <alignment horizontal="center"/>
    </xf>
    <xf numFmtId="175" fontId="47" fillId="0" borderId="25" xfId="0" applyNumberFormat="1" applyFont="1" applyBorder="1" applyAlignment="1">
      <alignment horizontal="center"/>
    </xf>
    <xf numFmtId="175" fontId="47" fillId="0" borderId="7" xfId="0" applyNumberFormat="1" applyFont="1" applyBorder="1" applyAlignment="1">
      <alignment horizontal="center"/>
    </xf>
    <xf numFmtId="165" fontId="47" fillId="0" borderId="17" xfId="0" applyNumberFormat="1" applyFont="1" applyBorder="1"/>
    <xf numFmtId="15" fontId="48" fillId="0" borderId="16" xfId="0" applyNumberFormat="1" applyFont="1" applyBorder="1" applyAlignment="1">
      <alignment horizontal="right" vertical="center"/>
    </xf>
    <xf numFmtId="15" fontId="48" fillId="0" borderId="9" xfId="0" applyNumberFormat="1" applyFont="1" applyBorder="1" applyAlignment="1">
      <alignment horizontal="right" vertical="center"/>
    </xf>
    <xf numFmtId="174" fontId="54" fillId="0" borderId="9" xfId="0" applyNumberFormat="1" applyFont="1" applyBorder="1"/>
    <xf numFmtId="166" fontId="50" fillId="0" borderId="16" xfId="0" applyNumberFormat="1" applyFont="1" applyBorder="1" applyAlignment="1">
      <alignment horizontal="center"/>
    </xf>
    <xf numFmtId="166" fontId="50" fillId="0" borderId="9" xfId="0" applyNumberFormat="1" applyFont="1" applyBorder="1" applyAlignment="1">
      <alignment horizontal="center"/>
    </xf>
    <xf numFmtId="166" fontId="50" fillId="0" borderId="9" xfId="0" applyNumberFormat="1" applyFont="1" applyBorder="1"/>
    <xf numFmtId="169" fontId="47" fillId="0" borderId="0" xfId="1" applyNumberFormat="1" applyFont="1" applyAlignment="1">
      <alignment horizontal="center"/>
    </xf>
    <xf numFmtId="0" fontId="57" fillId="0" borderId="4" xfId="0" applyFont="1" applyBorder="1" applyAlignment="1">
      <alignment horizontal="left"/>
    </xf>
    <xf numFmtId="0" fontId="56" fillId="0" borderId="4" xfId="0" applyFont="1" applyBorder="1" applyAlignment="1">
      <alignment horizontal="center"/>
    </xf>
    <xf numFmtId="0" fontId="57" fillId="0" borderId="4" xfId="0" applyFont="1" applyBorder="1"/>
    <xf numFmtId="176" fontId="59" fillId="0" borderId="15" xfId="0" applyNumberFormat="1" applyFont="1" applyBorder="1"/>
    <xf numFmtId="176" fontId="59" fillId="0" borderId="4" xfId="0" applyNumberFormat="1" applyFont="1" applyBorder="1"/>
    <xf numFmtId="168" fontId="47" fillId="0" borderId="9" xfId="0" applyNumberFormat="1" applyFont="1" applyBorder="1"/>
    <xf numFmtId="176" fontId="85" fillId="0" borderId="0" xfId="0" applyNumberFormat="1" applyFont="1"/>
    <xf numFmtId="175" fontId="50" fillId="0" borderId="9" xfId="0" applyNumberFormat="1" applyFont="1" applyBorder="1"/>
    <xf numFmtId="176" fontId="50" fillId="0" borderId="15" xfId="0" applyNumberFormat="1" applyFont="1" applyBorder="1"/>
    <xf numFmtId="176" fontId="50" fillId="0" borderId="4" xfId="0" applyNumberFormat="1" applyFont="1" applyBorder="1"/>
    <xf numFmtId="168" fontId="54" fillId="0" borderId="9" xfId="0" applyNumberFormat="1" applyFont="1" applyBorder="1"/>
    <xf numFmtId="169" fontId="54" fillId="0" borderId="0" xfId="0" applyNumberFormat="1" applyFont="1"/>
    <xf numFmtId="169" fontId="47" fillId="0" borderId="16" xfId="0" applyNumberFormat="1" applyFont="1" applyBorder="1"/>
    <xf numFmtId="176" fontId="61" fillId="0" borderId="9" xfId="0" applyNumberFormat="1" applyFont="1" applyBorder="1"/>
    <xf numFmtId="0" fontId="57" fillId="0" borderId="14" xfId="0" applyFont="1" applyBorder="1"/>
    <xf numFmtId="0" fontId="56" fillId="0" borderId="14" xfId="0" applyFont="1" applyBorder="1" applyAlignment="1">
      <alignment horizontal="center"/>
    </xf>
    <xf numFmtId="176" fontId="59" fillId="0" borderId="16" xfId="0" applyNumberFormat="1" applyFont="1" applyBorder="1"/>
    <xf numFmtId="176" fontId="59" fillId="0" borderId="14" xfId="0" applyNumberFormat="1" applyFont="1" applyBorder="1"/>
    <xf numFmtId="0" fontId="47" fillId="0" borderId="6" xfId="0" applyFont="1" applyBorder="1" applyAlignment="1">
      <alignment horizontal="left" indent="1"/>
    </xf>
    <xf numFmtId="0" fontId="49" fillId="0" borderId="6" xfId="0" applyFont="1" applyBorder="1" applyAlignment="1">
      <alignment horizontal="center"/>
    </xf>
    <xf numFmtId="0" fontId="47" fillId="0" borderId="6" xfId="0" applyFont="1" applyBorder="1"/>
    <xf numFmtId="176" fontId="47" fillId="0" borderId="11" xfId="0" applyNumberFormat="1" applyFont="1" applyBorder="1"/>
    <xf numFmtId="176" fontId="47" fillId="0" borderId="6" xfId="0" applyNumberFormat="1" applyFont="1" applyBorder="1"/>
    <xf numFmtId="0" fontId="47" fillId="0" borderId="0" xfId="2" applyFont="1" applyAlignment="1">
      <alignment horizontal="center"/>
    </xf>
    <xf numFmtId="0" fontId="47" fillId="0" borderId="0" xfId="2" applyFont="1"/>
    <xf numFmtId="0" fontId="80" fillId="0" borderId="0" xfId="2" applyFont="1" applyAlignment="1">
      <alignment vertical="top"/>
    </xf>
    <xf numFmtId="0" fontId="48" fillId="0" borderId="0" xfId="2" applyFont="1" applyAlignment="1">
      <alignment horizontal="center" vertical="center"/>
    </xf>
    <xf numFmtId="0" fontId="70" fillId="8" borderId="0" xfId="2" applyFont="1" applyFill="1" applyAlignment="1">
      <alignment vertical="center"/>
    </xf>
    <xf numFmtId="0" fontId="48" fillId="0" borderId="0" xfId="2" applyFont="1" applyAlignment="1">
      <alignment horizontal="center"/>
    </xf>
    <xf numFmtId="0" fontId="46" fillId="0" borderId="0" xfId="2" applyFont="1" applyAlignment="1">
      <alignment horizontal="center" vertical="center"/>
    </xf>
    <xf numFmtId="0" fontId="76" fillId="8" borderId="0" xfId="2" applyFont="1" applyFill="1" applyAlignment="1">
      <alignment vertical="center"/>
    </xf>
    <xf numFmtId="0" fontId="57" fillId="0" borderId="0" xfId="2" applyFont="1"/>
    <xf numFmtId="0" fontId="77" fillId="0" borderId="0" xfId="2" applyFont="1"/>
    <xf numFmtId="9" fontId="47" fillId="0" borderId="0" xfId="2" applyNumberFormat="1" applyFont="1"/>
    <xf numFmtId="0" fontId="45" fillId="0" borderId="1" xfId="2" applyFont="1" applyBorder="1"/>
    <xf numFmtId="0" fontId="45" fillId="0" borderId="1" xfId="2" applyFont="1" applyBorder="1" applyAlignment="1">
      <alignment horizontal="left"/>
    </xf>
    <xf numFmtId="0" fontId="45" fillId="0" borderId="1" xfId="2" applyFont="1" applyBorder="1" applyAlignment="1">
      <alignment horizontal="center"/>
    </xf>
    <xf numFmtId="0" fontId="47" fillId="0" borderId="0" xfId="3" applyFont="1"/>
    <xf numFmtId="0" fontId="45" fillId="0" borderId="2" xfId="2" applyFont="1" applyBorder="1" applyAlignment="1">
      <alignment horizontal="center"/>
    </xf>
    <xf numFmtId="176" fontId="48" fillId="0" borderId="0" xfId="3" applyNumberFormat="1" applyFont="1"/>
    <xf numFmtId="0" fontId="70" fillId="5" borderId="0" xfId="2" applyFont="1" applyFill="1"/>
    <xf numFmtId="0" fontId="70" fillId="5" borderId="0" xfId="2" applyFont="1" applyFill="1" applyAlignment="1">
      <alignment horizontal="right"/>
    </xf>
    <xf numFmtId="0" fontId="48" fillId="0" borderId="0" xfId="2" applyFont="1" applyAlignment="1">
      <alignment horizontal="left" indent="1"/>
    </xf>
    <xf numFmtId="0" fontId="51" fillId="0" borderId="0" xfId="2" applyFont="1" applyAlignment="1">
      <alignment horizontal="left"/>
    </xf>
    <xf numFmtId="178" fontId="48" fillId="0" borderId="0" xfId="2" applyNumberFormat="1" applyFont="1" applyAlignment="1">
      <alignment horizontal="center"/>
    </xf>
    <xf numFmtId="178" fontId="54" fillId="0" borderId="0" xfId="2" applyNumberFormat="1" applyFont="1" applyAlignment="1">
      <alignment horizontal="center"/>
    </xf>
    <xf numFmtId="176" fontId="48" fillId="0" borderId="0" xfId="2" applyNumberFormat="1" applyFont="1"/>
    <xf numFmtId="43" fontId="48" fillId="0" borderId="0" xfId="2" applyNumberFormat="1" applyFont="1"/>
    <xf numFmtId="0" fontId="47" fillId="0" borderId="0" xfId="2" applyFont="1" applyAlignment="1">
      <alignment horizontal="right"/>
    </xf>
    <xf numFmtId="178" fontId="50" fillId="0" borderId="0" xfId="2" applyNumberFormat="1" applyFont="1" applyAlignment="1">
      <alignment horizontal="center"/>
    </xf>
    <xf numFmtId="0" fontId="48" fillId="0" borderId="0" xfId="2" applyFont="1" applyAlignment="1">
      <alignment horizontal="left"/>
    </xf>
    <xf numFmtId="0" fontId="48" fillId="0" borderId="2" xfId="2" applyFont="1" applyBorder="1" applyAlignment="1">
      <alignment horizontal="left" indent="1"/>
    </xf>
    <xf numFmtId="0" fontId="48" fillId="0" borderId="2" xfId="2" applyFont="1" applyBorder="1" applyAlignment="1">
      <alignment horizontal="left"/>
    </xf>
    <xf numFmtId="178" fontId="54" fillId="0" borderId="2" xfId="2" applyNumberFormat="1" applyFont="1" applyBorder="1" applyAlignment="1">
      <alignment horizontal="center"/>
    </xf>
    <xf numFmtId="178" fontId="48" fillId="0" borderId="2" xfId="2" applyNumberFormat="1" applyFont="1" applyBorder="1" applyAlignment="1">
      <alignment horizontal="center"/>
    </xf>
    <xf numFmtId="0" fontId="47" fillId="0" borderId="0" xfId="2" applyFont="1" applyAlignment="1">
      <alignment horizontal="left"/>
    </xf>
    <xf numFmtId="178" fontId="77" fillId="0" borderId="0" xfId="2" applyNumberFormat="1" applyFont="1"/>
    <xf numFmtId="178" fontId="47" fillId="0" borderId="0" xfId="2" applyNumberFormat="1" applyFont="1"/>
    <xf numFmtId="0" fontId="46" fillId="0" borderId="0" xfId="2" applyFont="1"/>
    <xf numFmtId="0" fontId="55" fillId="0" borderId="0" xfId="2" applyFont="1" applyAlignment="1">
      <alignment horizontal="left"/>
    </xf>
    <xf numFmtId="178" fontId="45" fillId="0" borderId="0" xfId="2" applyNumberFormat="1" applyFont="1"/>
    <xf numFmtId="178" fontId="58" fillId="0" borderId="0" xfId="2" applyNumberFormat="1" applyFont="1"/>
    <xf numFmtId="176" fontId="47" fillId="0" borderId="0" xfId="2" applyNumberFormat="1" applyFont="1"/>
    <xf numFmtId="43" fontId="47" fillId="0" borderId="0" xfId="2" applyNumberFormat="1" applyFont="1"/>
    <xf numFmtId="176" fontId="54" fillId="0" borderId="0" xfId="3" applyNumberFormat="1" applyFont="1"/>
    <xf numFmtId="166" fontId="58" fillId="0" borderId="0" xfId="2" applyNumberFormat="1" applyFont="1"/>
    <xf numFmtId="175" fontId="50" fillId="0" borderId="0" xfId="2" applyNumberFormat="1" applyFont="1" applyAlignment="1">
      <alignment horizontal="center"/>
    </xf>
    <xf numFmtId="175" fontId="45" fillId="0" borderId="0" xfId="2" applyNumberFormat="1" applyFont="1"/>
    <xf numFmtId="175" fontId="58" fillId="0" borderId="0" xfId="2" applyNumberFormat="1" applyFont="1"/>
    <xf numFmtId="178" fontId="59" fillId="0" borderId="0" xfId="2" applyNumberFormat="1" applyFont="1"/>
    <xf numFmtId="164" fontId="76" fillId="6" borderId="0" xfId="0" applyNumberFormat="1" applyFont="1" applyFill="1" applyAlignment="1">
      <alignment horizontal="center"/>
    </xf>
    <xf numFmtId="170" fontId="47" fillId="0" borderId="0" xfId="0" applyNumberFormat="1" applyFont="1"/>
    <xf numFmtId="166" fontId="54" fillId="2" borderId="0" xfId="0" applyNumberFormat="1" applyFont="1" applyFill="1"/>
  </cellXfs>
  <cellStyles count="8">
    <cellStyle name="Currency" xfId="6" builtinId="4"/>
    <cellStyle name="Hyperlink" xfId="4" builtinId="8"/>
    <cellStyle name="Normal" xfId="0" builtinId="0"/>
    <cellStyle name="Normal 2" xfId="3" xr:uid="{4134A5C3-FE8F-4430-B1E6-480BE39AF414}"/>
    <cellStyle name="Normal 4" xfId="2" xr:uid="{746D6F47-C049-40DE-93FA-FD8B65A6EBE3}"/>
    <cellStyle name="Normal 6 2" xfId="7" xr:uid="{F9555D0A-903D-4744-9BAD-D8D26C351955}"/>
    <cellStyle name="Percent" xfId="1" builtinId="5"/>
    <cellStyle name="Percent 2" xfId="5" xr:uid="{1D6701FC-7C91-45AF-AB04-B4D297BDAE92}"/>
  </cellStyles>
  <dxfs count="69">
    <dxf>
      <font>
        <strike val="0"/>
        <outline val="0"/>
        <shadow val="0"/>
        <vertAlign val="baseline"/>
        <sz val="12"/>
        <name val="Aptos Narrow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numFmt numFmtId="175" formatCode="_(* #,##0.0\x;_(* \(#,##0.0\)\x;_(* &quot;   -&quot;?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0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  <numFmt numFmtId="14" formatCode="0.00%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r>
              <a:rPr lang="en-US" sz="1100" b="1"/>
              <a:t>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8B-43BE-81CB-3222AD9D7D91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8B-43BE-81CB-3222AD9D7D91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8B-43BE-81CB-3222AD9D7D91}"/>
              </c:ext>
            </c:extLst>
          </c:dPt>
          <c:dPt>
            <c:idx val="3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44-4233-AF84-E26C495BEF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Output!$C$17:$C$20</c:f>
              <c:strCache>
                <c:ptCount val="4"/>
                <c:pt idx="0">
                  <c:v>Equity</c:v>
                </c:pt>
                <c:pt idx="1">
                  <c:v>Subordinated debt</c:v>
                </c:pt>
                <c:pt idx="2">
                  <c:v>Sr. Debt - EV</c:v>
                </c:pt>
                <c:pt idx="3">
                  <c:v>Sr. Debt - Inorganic Acq. Reserve</c:v>
                </c:pt>
              </c:strCache>
            </c:strRef>
          </c:cat>
          <c:val>
            <c:numRef>
              <c:f>Output!$E$17:$E$20</c:f>
              <c:numCache>
                <c:formatCode>_(* #,##0.0_);_(* \(#,##0.0\);_(* "   -"?_);_(@_)</c:formatCode>
                <c:ptCount val="4"/>
                <c:pt idx="0">
                  <c:v>18.033762394285684</c:v>
                </c:pt>
                <c:pt idx="1">
                  <c:v>15.362093891428545</c:v>
                </c:pt>
                <c:pt idx="2">
                  <c:v>13.358342514285692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3-47B6-AFCC-AD10ED296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i="1"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34-47AF-8D39-CB02BE5209C4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34-47AF-8D39-CB02BE5209C4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63-47A5-BB7D-177A9F2A6D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Output!$C$24:$C$26</c:f>
              <c:strCache>
                <c:ptCount val="3"/>
                <c:pt idx="0">
                  <c:v>Purchase Price</c:v>
                </c:pt>
                <c:pt idx="1">
                  <c:v>OldCo Debt</c:v>
                </c:pt>
                <c:pt idx="2">
                  <c:v>Acquisition reserve</c:v>
                </c:pt>
              </c:strCache>
            </c:strRef>
          </c:cat>
          <c:val>
            <c:numRef>
              <c:f>Output!$E$24:$E$26</c:f>
              <c:numCache>
                <c:formatCode>_(* #,##0.0_);_(* \(#,##0.0\);_(* "   -"?_);_(@_)</c:formatCode>
                <c:ptCount val="3"/>
                <c:pt idx="0">
                  <c:v>44.780283109999928</c:v>
                </c:pt>
                <c:pt idx="1">
                  <c:v>1.9739156899999999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3-47B6-AFCC-AD10ED296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i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Output!$D$50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Output!$E$49:$Q$49</c:f>
              <c:numCache>
                <c:formatCode>General</c:formatCode>
                <c:ptCount val="13"/>
                <c:pt idx="0" formatCode="General&quot;A&quot;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Output!$E$50:$Q$50</c:f>
              <c:numCache>
                <c:formatCode>_(* #,##0.0_);_(* \(#,##0.0\);_(* "   -"?_);_(@_)</c:formatCode>
                <c:ptCount val="13"/>
                <c:pt idx="0">
                  <c:v>3.9705051501110606</c:v>
                </c:pt>
                <c:pt idx="1">
                  <c:v>3.991112492053368</c:v>
                </c:pt>
                <c:pt idx="2">
                  <c:v>4.6754198799999926</c:v>
                </c:pt>
                <c:pt idx="3">
                  <c:v>3.474405829971019</c:v>
                </c:pt>
                <c:pt idx="4">
                  <c:v>7.1239007591890768</c:v>
                </c:pt>
                <c:pt idx="5">
                  <c:v>10.072002036550074</c:v>
                </c:pt>
                <c:pt idx="6">
                  <c:v>13.024441684564323</c:v>
                </c:pt>
                <c:pt idx="7">
                  <c:v>15.981349854351407</c:v>
                </c:pt>
                <c:pt idx="8">
                  <c:v>18.942860601564519</c:v>
                </c:pt>
                <c:pt idx="9">
                  <c:v>21.909112003526445</c:v>
                </c:pt>
                <c:pt idx="10">
                  <c:v>24.880246279879657</c:v>
                </c:pt>
                <c:pt idx="11">
                  <c:v>27.856409916855796</c:v>
                </c:pt>
                <c:pt idx="12">
                  <c:v>30.837753795273727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C-4939-9690-A0E86B1C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7632703"/>
        <c:axId val="820239743"/>
      </c:barChart>
      <c:lineChart>
        <c:grouping val="standard"/>
        <c:varyColors val="0"/>
        <c:ser>
          <c:idx val="1"/>
          <c:order val="1"/>
          <c:tx>
            <c:strRef>
              <c:f>Output!$D$51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Output!$E$49:$Q$49</c:f>
              <c:numCache>
                <c:formatCode>General</c:formatCode>
                <c:ptCount val="13"/>
                <c:pt idx="0" formatCode="General&quot;A&quot;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numCache>
            </c:numRef>
          </c:cat>
          <c:val>
            <c:numRef>
              <c:f>Output!$E$51:$Q$51</c:f>
              <c:numCache>
                <c:formatCode>_(* #,##0.0%;_(* \(#,##0.0\)%;_(* "   -"?_)</c:formatCode>
                <c:ptCount val="13"/>
                <c:pt idx="0">
                  <c:v>0.13290780817645356</c:v>
                </c:pt>
                <c:pt idx="1">
                  <c:v>0.10228439941914164</c:v>
                </c:pt>
                <c:pt idx="2">
                  <c:v>0.10179522922311675</c:v>
                </c:pt>
                <c:pt idx="3">
                  <c:v>7.3442952189910218E-2</c:v>
                </c:pt>
                <c:pt idx="4">
                  <c:v>8.8247065508247693E-2</c:v>
                </c:pt>
                <c:pt idx="5">
                  <c:v>8.8204988980249768E-2</c:v>
                </c:pt>
                <c:pt idx="6">
                  <c:v>8.8185174519285231E-2</c:v>
                </c:pt>
                <c:pt idx="7">
                  <c:v>8.817536811267343E-2</c:v>
                </c:pt>
                <c:pt idx="8">
                  <c:v>8.8170955043280361E-2</c:v>
                </c:pt>
                <c:pt idx="9">
                  <c:v>8.8169810546869551E-2</c:v>
                </c:pt>
                <c:pt idx="10">
                  <c:v>8.8170820842281783E-2</c:v>
                </c:pt>
                <c:pt idx="11">
                  <c:v>8.8173346412136464E-2</c:v>
                </c:pt>
                <c:pt idx="12">
                  <c:v>8.8176994403893899E-2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C-4939-9690-A0E86B1C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654911"/>
        <c:axId val="294652991"/>
      </c:lineChart>
      <c:catAx>
        <c:axId val="1217632703"/>
        <c:scaling>
          <c:orientation val="minMax"/>
        </c:scaling>
        <c:delete val="0"/>
        <c:axPos val="b"/>
        <c:numFmt formatCode="General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820239743"/>
        <c:crosses val="autoZero"/>
        <c:auto val="1"/>
        <c:lblAlgn val="ctr"/>
        <c:lblOffset val="100"/>
        <c:noMultiLvlLbl val="0"/>
      </c:catAx>
      <c:valAx>
        <c:axId val="820239743"/>
        <c:scaling>
          <c:orientation val="minMax"/>
          <c:max val="150"/>
          <c:min val="0"/>
        </c:scaling>
        <c:delete val="0"/>
        <c:axPos val="l"/>
        <c:numFmt formatCode="_(* #,##0.0_);_(* \(#,##0.0\);_(* &quot;   -&quot;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17632703"/>
        <c:crosses val="autoZero"/>
        <c:crossBetween val="between"/>
      </c:valAx>
      <c:valAx>
        <c:axId val="294652991"/>
        <c:scaling>
          <c:orientation val="minMax"/>
          <c:min val="-0.5"/>
        </c:scaling>
        <c:delete val="0"/>
        <c:axPos val="r"/>
        <c:numFmt formatCode="_(* #,##0.0%;_(* \(#,##0.0\)%;_(* &quot;   -&quot;?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294654911"/>
        <c:crosses val="max"/>
        <c:crossBetween val="between"/>
      </c:valAx>
      <c:catAx>
        <c:axId val="294654911"/>
        <c:scaling>
          <c:orientation val="minMax"/>
        </c:scaling>
        <c:delete val="1"/>
        <c:axPos val="b"/>
        <c:numFmt formatCode="General&quot;A&quot;" sourceLinked="1"/>
        <c:majorTickMark val="out"/>
        <c:minorTickMark val="none"/>
        <c:tickLblPos val="nextTo"/>
        <c:crossAx val="294652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62920574872952E-2"/>
          <c:y val="0"/>
          <c:w val="0.97386839096628219"/>
          <c:h val="0.617902054577642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Output!$D$81</c:f>
              <c:strCache>
                <c:ptCount val="1"/>
                <c:pt idx="0">
                  <c:v>Financial debt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Output!$E$49:$Q$49</c15:sqref>
                  </c15:fullRef>
                </c:ext>
              </c:extLst>
              <c:f>Output!$E$49:$L$49</c:f>
              <c:numCache>
                <c:formatCode>General</c:formatCode>
                <c:ptCount val="8"/>
                <c:pt idx="0" formatCode="General&quot;A&quot;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Output!$E$81:$Q$81</c15:sqref>
                  </c15:fullRef>
                </c:ext>
              </c:extLst>
              <c:f>Output!$E$81:$L$81</c:f>
              <c:numCache>
                <c:formatCode>_(* #,##0.0_);_(* \(#,##0.0\);_(* "   -"?_);_(@_)</c:formatCode>
                <c:ptCount val="8"/>
                <c:pt idx="0">
                  <c:v>1.6275524400000001</c:v>
                </c:pt>
                <c:pt idx="1">
                  <c:v>1.2509576599999999</c:v>
                </c:pt>
                <c:pt idx="2">
                  <c:v>1.9739156899999999</c:v>
                </c:pt>
                <c:pt idx="3">
                  <c:v>21.358342514285692</c:v>
                </c:pt>
                <c:pt idx="4">
                  <c:v>21.358342514285692</c:v>
                </c:pt>
                <c:pt idx="5">
                  <c:v>21.358342514285692</c:v>
                </c:pt>
                <c:pt idx="6">
                  <c:v>21.358342514285692</c:v>
                </c:pt>
                <c:pt idx="7">
                  <c:v>21.358342514285692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C-4939-9690-A0E86B1C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7632703"/>
        <c:axId val="820239743"/>
      </c:barChart>
      <c:lineChart>
        <c:grouping val="standard"/>
        <c:varyColors val="0"/>
        <c:ser>
          <c:idx val="1"/>
          <c:order val="1"/>
          <c:tx>
            <c:strRef>
              <c:f>Output!$D$82</c:f>
              <c:strCache>
                <c:ptCount val="1"/>
                <c:pt idx="0">
                  <c:v>Debt / EBITDA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Output!$E$49:$Q$49</c15:sqref>
                  </c15:fullRef>
                </c:ext>
              </c:extLst>
              <c:f>Output!$E$49:$L$49</c:f>
              <c:numCache>
                <c:formatCode>General</c:formatCode>
                <c:ptCount val="8"/>
                <c:pt idx="0" formatCode="General&quot;A&quot;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Output!$E$82:$Q$82</c15:sqref>
                  </c15:fullRef>
                </c:ext>
              </c:extLst>
              <c:f>Output!$E$82:$L$82</c:f>
              <c:numCache>
                <c:formatCode>_(* #,##0.0\x;_(* \(#,##0.0\)\x;_(* "   -"?_)</c:formatCode>
                <c:ptCount val="8"/>
                <c:pt idx="0">
                  <c:v>0.4099106734452857</c:v>
                </c:pt>
                <c:pt idx="1">
                  <c:v>0.31343583085938043</c:v>
                </c:pt>
                <c:pt idx="2">
                  <c:v>0.42219003654491094</c:v>
                </c:pt>
                <c:pt idx="3">
                  <c:v>6.1473367129549885</c:v>
                </c:pt>
                <c:pt idx="4">
                  <c:v>2.9981246561774029</c:v>
                </c:pt>
                <c:pt idx="5">
                  <c:v>2.120565746192153</c:v>
                </c:pt>
                <c:pt idx="6">
                  <c:v>1.639866263104248</c:v>
                </c:pt>
                <c:pt idx="7">
                  <c:v>1.336454223763222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C-4939-9690-A0E86B1C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654911"/>
        <c:axId val="294652991"/>
      </c:lineChart>
      <c:catAx>
        <c:axId val="1217632703"/>
        <c:scaling>
          <c:orientation val="minMax"/>
        </c:scaling>
        <c:delete val="0"/>
        <c:axPos val="b"/>
        <c:numFmt formatCode="General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820239743"/>
        <c:crosses val="autoZero"/>
        <c:auto val="1"/>
        <c:lblAlgn val="ctr"/>
        <c:lblOffset val="100"/>
        <c:noMultiLvlLbl val="0"/>
      </c:catAx>
      <c:valAx>
        <c:axId val="820239743"/>
        <c:scaling>
          <c:orientation val="minMax"/>
          <c:max val="40"/>
        </c:scaling>
        <c:delete val="0"/>
        <c:axPos val="l"/>
        <c:numFmt formatCode="_(* #,##0.0_);_(* \(#,##0.0\);_(* &quot;   -&quot;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17632703"/>
        <c:crosses val="autoZero"/>
        <c:crossBetween val="between"/>
      </c:valAx>
      <c:valAx>
        <c:axId val="294652991"/>
        <c:scaling>
          <c:orientation val="minMax"/>
          <c:max val="4"/>
          <c:min val="-5"/>
        </c:scaling>
        <c:delete val="0"/>
        <c:axPos val="r"/>
        <c:numFmt formatCode="_(* #,##0.0\x;_(* \(#,##0.0\)\x;_(* &quot;   -&quot;?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294654911"/>
        <c:crosses val="max"/>
        <c:crossBetween val="between"/>
      </c:valAx>
      <c:catAx>
        <c:axId val="294654911"/>
        <c:scaling>
          <c:orientation val="minMax"/>
        </c:scaling>
        <c:delete val="1"/>
        <c:axPos val="b"/>
        <c:numFmt formatCode="General&quot;A&quot;" sourceLinked="1"/>
        <c:majorTickMark val="out"/>
        <c:minorTickMark val="none"/>
        <c:tickLblPos val="nextTo"/>
        <c:crossAx val="294652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Output!$D$113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Output!$H$49:$Q$49</c:f>
              <c:numCache>
                <c:formatCode>General</c:formatCod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numCache>
            </c:numRef>
          </c:cat>
          <c:val>
            <c:numRef>
              <c:f>Output!$E$113:$N$113</c:f>
              <c:numCache>
                <c:formatCode>_(* #,##0.0_);_(* \(#,##0.0\);_(* "   -"?_);_(@_)</c:formatCode>
                <c:ptCount val="10"/>
                <c:pt idx="0">
                  <c:v>3.474405829971019</c:v>
                </c:pt>
                <c:pt idx="1">
                  <c:v>7.1239007591890768</c:v>
                </c:pt>
                <c:pt idx="2">
                  <c:v>10.072002036550074</c:v>
                </c:pt>
                <c:pt idx="3">
                  <c:v>13.024441684564323</c:v>
                </c:pt>
                <c:pt idx="4">
                  <c:v>15.981349854351407</c:v>
                </c:pt>
                <c:pt idx="5">
                  <c:v>18.942860601564519</c:v>
                </c:pt>
                <c:pt idx="6">
                  <c:v>21.909112003526445</c:v>
                </c:pt>
                <c:pt idx="7">
                  <c:v>24.880246279879657</c:v>
                </c:pt>
                <c:pt idx="8">
                  <c:v>27.856409916855796</c:v>
                </c:pt>
                <c:pt idx="9">
                  <c:v>30.837753795273727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C-4939-9690-A0E86B1CD2C9}"/>
            </c:ext>
          </c:extLst>
        </c:ser>
        <c:ser>
          <c:idx val="1"/>
          <c:order val="1"/>
          <c:tx>
            <c:strRef>
              <c:f>Output!$D$114</c:f>
              <c:strCache>
                <c:ptCount val="1"/>
                <c:pt idx="0">
                  <c:v>Operating free cash flow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Output!$H$49:$Q$49</c:f>
              <c:numCache>
                <c:formatCode>General</c:formatCod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numCache>
            </c:numRef>
          </c:cat>
          <c:val>
            <c:numRef>
              <c:f>Output!$E$114:$N$114</c:f>
              <c:numCache>
                <c:formatCode>_(* #,##0.0_);_(* \(#,##0.0\);_(* "   -"?_);_(@_)</c:formatCode>
                <c:ptCount val="10"/>
                <c:pt idx="0">
                  <c:v>3.6506250011426991</c:v>
                </c:pt>
                <c:pt idx="1">
                  <c:v>-5.5203315490185574</c:v>
                </c:pt>
                <c:pt idx="2">
                  <c:v>-3.6415091007099303</c:v>
                </c:pt>
                <c:pt idx="3">
                  <c:v>-1.6997526783631312</c:v>
                </c:pt>
                <c:pt idx="4">
                  <c:v>0.27641944487194436</c:v>
                </c:pt>
                <c:pt idx="5">
                  <c:v>2.2415633922860145</c:v>
                </c:pt>
                <c:pt idx="6">
                  <c:v>4.184028984385602</c:v>
                </c:pt>
                <c:pt idx="7">
                  <c:v>6.1123502493680366</c:v>
                </c:pt>
                <c:pt idx="8">
                  <c:v>8.0527060982258618</c:v>
                </c:pt>
                <c:pt idx="9">
                  <c:v>10.005207968475482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C-4939-9690-A0E86B1C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7632703"/>
        <c:axId val="820239743"/>
      </c:barChart>
      <c:lineChart>
        <c:grouping val="standard"/>
        <c:varyColors val="0"/>
        <c:ser>
          <c:idx val="2"/>
          <c:order val="2"/>
          <c:tx>
            <c:strRef>
              <c:f>Output!$D$115</c:f>
              <c:strCache>
                <c:ptCount val="1"/>
                <c:pt idx="0">
                  <c:v>FCFF/EBITDA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Output!$H$49:$Q$49</c:f>
              <c:numCache>
                <c:formatCode>General</c:formatCod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numCache>
            </c:numRef>
          </c:cat>
          <c:val>
            <c:numRef>
              <c:f>Output!$E$115:$N$115</c:f>
              <c:numCache>
                <c:formatCode>_(* #,##0.0%;_(* \(#,##0.0\)%;_(* "   -"?_)</c:formatCode>
                <c:ptCount val="10"/>
                <c:pt idx="0">
                  <c:v>1.0507192250403143</c:v>
                </c:pt>
                <c:pt idx="1">
                  <c:v>-0.77490292686881057</c:v>
                </c:pt>
                <c:pt idx="2">
                  <c:v>-0.36154769305003465</c:v>
                </c:pt>
                <c:pt idx="3">
                  <c:v>-0.13050484001763865</c:v>
                </c:pt>
                <c:pt idx="4">
                  <c:v>1.729637655086318E-2</c:v>
                </c:pt>
                <c:pt idx="5">
                  <c:v>0.11833288748906702</c:v>
                </c:pt>
                <c:pt idx="6">
                  <c:v>0.19097209342451441</c:v>
                </c:pt>
                <c:pt idx="7">
                  <c:v>0.24567080971023256</c:v>
                </c:pt>
                <c:pt idx="8">
                  <c:v>0.28907910682895299</c:v>
                </c:pt>
                <c:pt idx="9">
                  <c:v>0.32444671667392666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F-4BE6-9739-4DD148C83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654911"/>
        <c:axId val="294652991"/>
      </c:lineChart>
      <c:catAx>
        <c:axId val="121763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820239743"/>
        <c:crosses val="autoZero"/>
        <c:auto val="1"/>
        <c:lblAlgn val="ctr"/>
        <c:lblOffset val="100"/>
        <c:noMultiLvlLbl val="0"/>
      </c:catAx>
      <c:valAx>
        <c:axId val="820239743"/>
        <c:scaling>
          <c:orientation val="minMax"/>
          <c:max val="70"/>
          <c:min val="0"/>
        </c:scaling>
        <c:delete val="0"/>
        <c:axPos val="l"/>
        <c:numFmt formatCode="_(* #,##0.0_);_(* \(#,##0.0\);_(* &quot;   -&quot;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17632703"/>
        <c:crosses val="autoZero"/>
        <c:crossBetween val="between"/>
      </c:valAx>
      <c:valAx>
        <c:axId val="294652991"/>
        <c:scaling>
          <c:orientation val="minMax"/>
          <c:min val="-5"/>
        </c:scaling>
        <c:delete val="0"/>
        <c:axPos val="r"/>
        <c:numFmt formatCode="_(* #,##0.0%;_(* \(#,##0.0\)%;_(* &quot;   -&quot;?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294654911"/>
        <c:crosses val="max"/>
        <c:crossBetween val="between"/>
      </c:valAx>
      <c:catAx>
        <c:axId val="294654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652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1"/>
          <c:tx>
            <c:strRef>
              <c:f>Output!$D$141</c:f>
              <c:strCache>
                <c:ptCount val="1"/>
                <c:pt idx="0">
                  <c:v>Acum.  Cash Flow to Equity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Output!$E$139:$J$139</c15:sqref>
                  </c15:fullRef>
                </c:ext>
              </c:extLst>
              <c:f>Output!$E$139:$I$139</c:f>
              <c:strCach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Output!$E$141:$J$141</c15:sqref>
                  </c15:fullRef>
                </c:ext>
              </c:extLst>
              <c:f>Output!$E$141:$I$141</c:f>
              <c:numCache>
                <c:formatCode>_(* #,##0.0_);_(* \(#,##0.0\);_(* "   -"?_);_(@_)</c:formatCode>
                <c:ptCount val="5"/>
                <c:pt idx="0">
                  <c:v>-33.395856285714231</c:v>
                </c:pt>
                <c:pt idx="1">
                  <c:v>-33.395856285714231</c:v>
                </c:pt>
                <c:pt idx="2">
                  <c:v>-36.592382936724448</c:v>
                </c:pt>
                <c:pt idx="3">
                  <c:v>-39.685468418065454</c:v>
                </c:pt>
                <c:pt idx="4">
                  <c:v>96.741428375377325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2-43E7-9197-4261C43E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339087"/>
        <c:axId val="317342447"/>
      </c:areaChart>
      <c:barChart>
        <c:barDir val="col"/>
        <c:grouping val="clustered"/>
        <c:varyColors val="0"/>
        <c:ser>
          <c:idx val="0"/>
          <c:order val="0"/>
          <c:tx>
            <c:strRef>
              <c:f>Output!$D$140</c:f>
              <c:strCache>
                <c:ptCount val="1"/>
                <c:pt idx="0">
                  <c:v>Gross Cash Flow to Equity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1.3347740478739563E-16"/>
                  <c:y val="0.133985627818370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AA4-4DBF-96BC-E7A2A022D0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Output!$E$139:$J$139</c15:sqref>
                  </c15:fullRef>
                </c:ext>
              </c:extLst>
              <c:f>Output!$E$139:$I$139</c:f>
              <c:strCach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Output!$E$140:$J$140</c15:sqref>
                  </c15:fullRef>
                </c:ext>
              </c:extLst>
              <c:f>Output!$E$140:$I$140</c:f>
              <c:numCache>
                <c:formatCode>_(* #,##0.0_);_(* \(#,##0.0\);_(* "   -"?_);_(@_)</c:formatCode>
                <c:ptCount val="5"/>
                <c:pt idx="0">
                  <c:v>-33.395856285714231</c:v>
                </c:pt>
                <c:pt idx="1">
                  <c:v>0</c:v>
                </c:pt>
                <c:pt idx="2">
                  <c:v>-3.1965266510102173</c:v>
                </c:pt>
                <c:pt idx="3">
                  <c:v>-3.0930854813410029</c:v>
                </c:pt>
                <c:pt idx="4">
                  <c:v>136.42689679344278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2-43E7-9197-4261C43E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7339087"/>
        <c:axId val="317342447"/>
      </c:barChart>
      <c:lineChart>
        <c:grouping val="standard"/>
        <c:varyColors val="0"/>
        <c:ser>
          <c:idx val="2"/>
          <c:order val="2"/>
          <c:tx>
            <c:strRef>
              <c:f>Output!$D$142</c:f>
              <c:strCache>
                <c:ptCount val="1"/>
                <c:pt idx="0">
                  <c:v>Acum.  Cash Flow to Equity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42-43E7-9197-4261C43E59FD}"/>
                </c:ext>
              </c:extLst>
            </c:dLbl>
            <c:dLbl>
              <c:idx val="4"/>
              <c:layout>
                <c:manualLayout>
                  <c:x val="2.485359834207109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42-43E7-9197-4261C43E59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Output!$E$139:$J$139</c15:sqref>
                  </c15:fullRef>
                </c:ext>
              </c:extLst>
              <c:f>Output!$E$139:$I$139</c:f>
              <c:strCach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Output!$E$142:$J$142</c15:sqref>
                  </c15:fullRef>
                </c:ext>
              </c:extLst>
              <c:f>Output!$E$142:$I$142</c:f>
              <c:numCache>
                <c:formatCode>_(* #,##0.0_);_(* \(#,##0.0\);_(* "   -"?_);_(@_)</c:formatCode>
                <c:ptCount val="5"/>
                <c:pt idx="0">
                  <c:v>-33.395856285714231</c:v>
                </c:pt>
                <c:pt idx="1">
                  <c:v>-33.395856285714231</c:v>
                </c:pt>
                <c:pt idx="2">
                  <c:v>-36.592382936724448</c:v>
                </c:pt>
                <c:pt idx="3">
                  <c:v>-39.685468418065454</c:v>
                </c:pt>
                <c:pt idx="4">
                  <c:v>96.741428375377325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Output!$J$142</c15:sqref>
                  <c15:dLbl>
                    <c:idx val="4"/>
                    <c:layout>
                      <c:manualLayout>
                        <c:x val="1.8292683725259867E-2"/>
                        <c:y val="0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9477-DE4D-B97F-BC5B86A92F16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2-9A42-43E7-9197-4261C43E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339087"/>
        <c:axId val="317342447"/>
      </c:lineChart>
      <c:catAx>
        <c:axId val="31733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317342447"/>
        <c:crosses val="autoZero"/>
        <c:auto val="1"/>
        <c:lblAlgn val="ctr"/>
        <c:lblOffset val="100"/>
        <c:noMultiLvlLbl val="0"/>
      </c:catAx>
      <c:valAx>
        <c:axId val="317342447"/>
        <c:scaling>
          <c:orientation val="minMax"/>
        </c:scaling>
        <c:delete val="1"/>
        <c:axPos val="l"/>
        <c:numFmt formatCode="_(* #,##0.0_);_(* \(#,##0.0\);_(* &quot;   -&quot;?_);_(@_)" sourceLinked="1"/>
        <c:majorTickMark val="none"/>
        <c:minorTickMark val="none"/>
        <c:tickLblPos val="nextTo"/>
        <c:crossAx val="31733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i="1"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659685402039822E-2"/>
          <c:y val="8.602524718510704E-2"/>
          <c:w val="0.96507936944389838"/>
          <c:h val="0.597091151652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Output!$D$233</c:f>
              <c:strCache>
                <c:ptCount val="1"/>
                <c:pt idx="0">
                  <c:v>Debt EOP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Output!$E$232:$N$232</c15:sqref>
                  </c15:fullRef>
                </c:ext>
              </c:extLst>
              <c:f>Output!$E$232:$I$232</c:f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Output!$E$233:$N$233</c15:sqref>
                  </c15:fullRef>
                </c:ext>
              </c:extLst>
              <c:f>Output!$E$233:$I$233</c:f>
              <c:numCache>
                <c:formatCode>_(* #,##0.0_);_(* \(#,##0.0\);_(* "   -"?_);_(@_)</c:formatCode>
                <c:ptCount val="5"/>
                <c:pt idx="0">
                  <c:v>21.358342514285692</c:v>
                </c:pt>
                <c:pt idx="1">
                  <c:v>21.358342514285692</c:v>
                </c:pt>
                <c:pt idx="2">
                  <c:v>21.358342514285692</c:v>
                </c:pt>
                <c:pt idx="3">
                  <c:v>21.358342514285692</c:v>
                </c:pt>
                <c:pt idx="4">
                  <c:v>21.358342514285692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6-43B4-9BE0-571B8D695097}"/>
            </c:ext>
          </c:extLst>
        </c:ser>
        <c:ser>
          <c:idx val="1"/>
          <c:order val="1"/>
          <c:tx>
            <c:strRef>
              <c:f>Output!$D$234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Output!$E$232:$N$232</c15:sqref>
                  </c15:fullRef>
                </c:ext>
              </c:extLst>
              <c:f>Output!$E$232:$I$232</c:f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Output!$E$234:$N$234</c15:sqref>
                  </c15:fullRef>
                </c:ext>
              </c:extLst>
              <c:f>Output!$E$234:$I$234</c:f>
              <c:numCache>
                <c:formatCode>_(* #,##0.0_);_(* \(#,##0.0\);_(* "   -"?_);_(@_)</c:formatCode>
                <c:ptCount val="5"/>
                <c:pt idx="0">
                  <c:v>3.474405829971019</c:v>
                </c:pt>
                <c:pt idx="1">
                  <c:v>7.1239007591890768</c:v>
                </c:pt>
                <c:pt idx="2">
                  <c:v>10.072002036550074</c:v>
                </c:pt>
                <c:pt idx="3">
                  <c:v>13.024441684564323</c:v>
                </c:pt>
                <c:pt idx="4">
                  <c:v>15.981349854351407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6-43B4-9BE0-571B8D69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31535919"/>
        <c:axId val="1231536879"/>
      </c:barChart>
      <c:lineChart>
        <c:grouping val="standard"/>
        <c:varyColors val="0"/>
        <c:ser>
          <c:idx val="2"/>
          <c:order val="2"/>
          <c:tx>
            <c:strRef>
              <c:f>Output!$D$235</c:f>
              <c:strCache>
                <c:ptCount val="1"/>
                <c:pt idx="0">
                  <c:v>Debt/EBITDA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Output!$E$232:$N$232</c15:sqref>
                  </c15:fullRef>
                </c:ext>
              </c:extLst>
              <c:f>Output!$E$232:$I$232</c:f>
              <c:numCache>
                <c:formatCode>General</c:formatCode>
                <c:ptCount val="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Output!$E$235:$N$235</c15:sqref>
                  </c15:fullRef>
                </c:ext>
              </c:extLst>
              <c:f>Output!$E$235:$I$235</c:f>
              <c:numCache>
                <c:formatCode>_(* #,##0.0\x;_(* \(#,##0.0\)\x;_(* "   -"?_)</c:formatCode>
                <c:ptCount val="5"/>
                <c:pt idx="0">
                  <c:v>6.1473367129549885</c:v>
                </c:pt>
                <c:pt idx="1">
                  <c:v>2.9981246561774029</c:v>
                </c:pt>
                <c:pt idx="2">
                  <c:v>2.120565746192153</c:v>
                </c:pt>
                <c:pt idx="3">
                  <c:v>1.639866263104248</c:v>
                </c:pt>
                <c:pt idx="4">
                  <c:v>1.336454223763222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6-43B4-9BE0-571B8D69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753471"/>
        <c:axId val="1414754911"/>
      </c:lineChart>
      <c:catAx>
        <c:axId val="12315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31536879"/>
        <c:crosses val="autoZero"/>
        <c:auto val="1"/>
        <c:lblAlgn val="ctr"/>
        <c:lblOffset val="100"/>
        <c:noMultiLvlLbl val="0"/>
      </c:catAx>
      <c:valAx>
        <c:axId val="1231536879"/>
        <c:scaling>
          <c:orientation val="minMax"/>
          <c:max val="80"/>
        </c:scaling>
        <c:delete val="0"/>
        <c:axPos val="l"/>
        <c:numFmt formatCode="_(* #,##0.0_);_(* \(#,##0.0\);_(* &quot;   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31535919"/>
        <c:crosses val="autoZero"/>
        <c:crossBetween val="between"/>
      </c:valAx>
      <c:valAx>
        <c:axId val="1414754911"/>
        <c:scaling>
          <c:orientation val="minMax"/>
          <c:max val="4"/>
          <c:min val="-4"/>
        </c:scaling>
        <c:delete val="0"/>
        <c:axPos val="r"/>
        <c:numFmt formatCode="_(* #,##0.0\x;_(* \(#,##0.0\)\x;_(* &quot;   -&quot;?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414753471"/>
        <c:crosses val="max"/>
        <c:crossBetween val="between"/>
      </c:valAx>
      <c:catAx>
        <c:axId val="1414753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47549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460315278050833E-2"/>
          <c:y val="0.10819660958140226"/>
          <c:w val="0.96507936944389838"/>
          <c:h val="0.597091151652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Output!$D$251</c:f>
              <c:strCache>
                <c:ptCount val="1"/>
                <c:pt idx="0">
                  <c:v>Debt Service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Output!$E$232:$N$232</c:f>
              <c:numCache>
                <c:formatCode>General</c:formatCod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numCache>
            </c:numRef>
          </c:cat>
          <c:val>
            <c:numRef>
              <c:f>Output!$E$251:$N$251</c:f>
              <c:numCache>
                <c:formatCode>_(* #,##0.0_);_(* \(#,##0.0\);_(* "   -"?_);_(@_)</c:formatCode>
                <c:ptCount val="10"/>
                <c:pt idx="0">
                  <c:v>2.1270951223257684</c:v>
                </c:pt>
                <c:pt idx="1">
                  <c:v>4.2182726465714246</c:v>
                </c:pt>
                <c:pt idx="2">
                  <c:v>4.1221601052571391</c:v>
                </c:pt>
                <c:pt idx="3">
                  <c:v>4.0281833981942814</c:v>
                </c:pt>
                <c:pt idx="4">
                  <c:v>4.0324550666971382</c:v>
                </c:pt>
                <c:pt idx="5">
                  <c:v>4.0580850777142814</c:v>
                </c:pt>
                <c:pt idx="6">
                  <c:v>4.0580850777142814</c:v>
                </c:pt>
                <c:pt idx="7">
                  <c:v>4.0580850777142814</c:v>
                </c:pt>
                <c:pt idx="8">
                  <c:v>4.0580850777142814</c:v>
                </c:pt>
                <c:pt idx="9">
                  <c:v>4.0580850777142814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6-43B4-9BE0-571B8D695097}"/>
            </c:ext>
          </c:extLst>
        </c:ser>
        <c:ser>
          <c:idx val="1"/>
          <c:order val="1"/>
          <c:tx>
            <c:strRef>
              <c:f>Output!$D$252</c:f>
              <c:strCache>
                <c:ptCount val="1"/>
                <c:pt idx="0">
                  <c:v>CFADS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Output!$E$232:$N$232</c:f>
              <c:numCache>
                <c:formatCode>General</c:formatCod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numCache>
            </c:numRef>
          </c:cat>
          <c:val>
            <c:numRef>
              <c:f>Output!$E$252:$N$252</c:f>
              <c:numCache>
                <c:formatCode>_(* #,##0.0_);_(* \(#,##0.0\);_(* "   -"?_);_(@_)</c:formatCode>
                <c:ptCount val="10"/>
                <c:pt idx="0">
                  <c:v>13.709874725714121</c:v>
                </c:pt>
                <c:pt idx="1">
                  <c:v>6.0624480543814361</c:v>
                </c:pt>
                <c:pt idx="2">
                  <c:v>-1.7973341007099304</c:v>
                </c:pt>
                <c:pt idx="3">
                  <c:v>-1.6997526783631312</c:v>
                </c:pt>
                <c:pt idx="4">
                  <c:v>0.27641944487194436</c:v>
                </c:pt>
                <c:pt idx="5">
                  <c:v>2.2415633922860145</c:v>
                </c:pt>
                <c:pt idx="6">
                  <c:v>4.184028984385602</c:v>
                </c:pt>
                <c:pt idx="7">
                  <c:v>6.2382942493680362</c:v>
                </c:pt>
                <c:pt idx="8">
                  <c:v>10.232915098225861</c:v>
                </c:pt>
                <c:pt idx="9">
                  <c:v>16.180037968475482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6-43B4-9BE0-571B8D69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31535919"/>
        <c:axId val="1231536879"/>
      </c:barChart>
      <c:lineChart>
        <c:grouping val="standard"/>
        <c:varyColors val="0"/>
        <c:ser>
          <c:idx val="2"/>
          <c:order val="2"/>
          <c:tx>
            <c:strRef>
              <c:f>Output!$D$253</c:f>
              <c:strCache>
                <c:ptCount val="1"/>
                <c:pt idx="0">
                  <c:v>DSCR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Output!$E$232:$N$232</c:f>
              <c:numCache>
                <c:formatCode>General</c:formatCode>
                <c:ptCount val="10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</c:numCache>
            </c:numRef>
          </c:cat>
          <c:val>
            <c:numRef>
              <c:f>Output!$E$253:$N$253</c:f>
              <c:numCache>
                <c:formatCode>_(* #,##0.0\x;_(* \(#,##0.0\)\x;_(* "   -"?_)</c:formatCode>
                <c:ptCount val="10"/>
                <c:pt idx="0">
                  <c:v>6.4453510244166834</c:v>
                </c:pt>
                <c:pt idx="1">
                  <c:v>1.4371873423850261</c:v>
                </c:pt>
                <c:pt idx="2">
                  <c:v>-0.43601753809070287</c:v>
                </c:pt>
                <c:pt idx="3">
                  <c:v>-0.42196506721245147</c:v>
                </c:pt>
                <c:pt idx="4">
                  <c:v>6.8548673277183267E-2</c:v>
                </c:pt>
                <c:pt idx="5">
                  <c:v>0.55236973827778302</c:v>
                </c:pt>
                <c:pt idx="6">
                  <c:v>1.0310353046472496</c:v>
                </c:pt>
                <c:pt idx="7">
                  <c:v>1.537250730307941</c:v>
                </c:pt>
                <c:pt idx="8">
                  <c:v>2.521611770640737</c:v>
                </c:pt>
                <c:pt idx="9">
                  <c:v>3.9871115707581213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6-43B4-9BE0-571B8D69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753471"/>
        <c:axId val="1414754911"/>
      </c:lineChart>
      <c:catAx>
        <c:axId val="12315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31536879"/>
        <c:crosses val="autoZero"/>
        <c:auto val="1"/>
        <c:lblAlgn val="ctr"/>
        <c:lblOffset val="100"/>
        <c:noMultiLvlLbl val="0"/>
      </c:catAx>
      <c:valAx>
        <c:axId val="1231536879"/>
        <c:scaling>
          <c:orientation val="minMax"/>
          <c:max val="2.5"/>
        </c:scaling>
        <c:delete val="0"/>
        <c:axPos val="l"/>
        <c:numFmt formatCode="_(* #,##0.0_);_(* \(#,##0.0\);_(* &quot;   -&quot;?_);_(@_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231535919"/>
        <c:crosses val="autoZero"/>
        <c:crossBetween val="between"/>
      </c:valAx>
      <c:valAx>
        <c:axId val="1414754911"/>
        <c:scaling>
          <c:orientation val="minMax"/>
        </c:scaling>
        <c:delete val="0"/>
        <c:axPos val="r"/>
        <c:numFmt formatCode="_(* #,##0.0\x;_(* \(#,##0.0\)\x;_(* &quot;   -&quot;?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1414753471"/>
        <c:crosses val="max"/>
        <c:crossBetween val="between"/>
      </c:valAx>
      <c:catAx>
        <c:axId val="1414753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47549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CA-43DA-997A-82ED6012AE88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CA-43DA-997A-82ED6012A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Output!$D$284:$D$285</c:f>
              <c:strCache>
                <c:ptCount val="2"/>
                <c:pt idx="0">
                  <c:v>PV of FCFF</c:v>
                </c:pt>
                <c:pt idx="1">
                  <c:v>PV of Terminal Value</c:v>
                </c:pt>
              </c:strCache>
            </c:strRef>
          </c:cat>
          <c:val>
            <c:numRef>
              <c:f>Output!$E$284:$E$285</c:f>
              <c:numCache>
                <c:formatCode>_(* #,##0.0_);_(* \(#,##0.0\);_(* "   -"?_);_(@_)</c:formatCode>
                <c:ptCount val="2"/>
                <c:pt idx="0">
                  <c:v>7.329806179433124</c:v>
                </c:pt>
                <c:pt idx="1">
                  <c:v>36.099063801713633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E62-BBB9-4A12F6198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31-496C-9707-27EE97D7D64E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31-496C-9707-27EE97D7D6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Output!$D$318:$D$319</c:f>
              <c:strCache>
                <c:ptCount val="2"/>
                <c:pt idx="0">
                  <c:v>PV of FCFE</c:v>
                </c:pt>
                <c:pt idx="1">
                  <c:v>PV of Terminal Value</c:v>
                </c:pt>
              </c:strCache>
            </c:strRef>
          </c:cat>
          <c:val>
            <c:numRef>
              <c:f>Output!$E$318:$E$319</c:f>
              <c:numCache>
                <c:formatCode>_(* #,##0.0_);_(* \(#,##0.0\);_(* "   -"?_);_(@_)</c:formatCode>
                <c:ptCount val="2"/>
                <c:pt idx="0">
                  <c:v>-5.1351837453792299</c:v>
                </c:pt>
                <c:pt idx="1">
                  <c:v>22.623297468120398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1-496C-9707-27EE97D7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75371367627831"/>
          <c:y val="9.9449839894044406E-2"/>
          <c:w val="0.7439453347098034"/>
          <c:h val="0.82318635771119975"/>
        </c:manualLayout>
      </c:layout>
      <c:barChart>
        <c:barDir val="bar"/>
        <c:grouping val="stacked"/>
        <c:varyColors val="0"/>
        <c:ser>
          <c:idx val="6"/>
          <c:order val="0"/>
          <c:spPr>
            <a:noFill/>
          </c:spPr>
          <c:invertIfNegative val="0"/>
          <c:cat>
            <c:strRef>
              <c:f>'Football Field'!$B$12:$B$17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Field'!$K$12:$K$17</c:f>
              <c:numCache>
                <c:formatCode>_(* #,##0.0_);_(* \(#,##0.0\);_(* "   -"?_);_(@_)</c:formatCode>
                <c:ptCount val="6"/>
                <c:pt idx="0">
                  <c:v>37.199688331042374</c:v>
                </c:pt>
                <c:pt idx="1">
                  <c:v>33.644440783851266</c:v>
                </c:pt>
                <c:pt idx="2">
                  <c:v>53.685284807523544</c:v>
                </c:pt>
                <c:pt idx="3">
                  <c:v>28.039418362940925</c:v>
                </c:pt>
                <c:pt idx="4">
                  <c:v>32.014676930165578</c:v>
                </c:pt>
                <c:pt idx="5">
                  <c:v>36.914539483974742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90F-AEE4-6AA4ED36D02C}"/>
            </c:ext>
          </c:extLst>
        </c:ser>
        <c:ser>
          <c:idx val="7"/>
          <c:order val="1"/>
          <c:spPr>
            <a:solidFill>
              <a:srgbClr val="002060"/>
            </a:solidFill>
          </c:spPr>
          <c:invertIfNegative val="0"/>
          <c:dLbls>
            <c:dLbl>
              <c:idx val="0"/>
              <c:layout>
                <c:manualLayout>
                  <c:x val="-0.13502299659269359"/>
                  <c:y val="0"/>
                </c:manualLayout>
              </c:layout>
              <c:tx>
                <c:rich>
                  <a:bodyPr/>
                  <a:lstStyle/>
                  <a:p>
                    <a:fld id="{AC2D03CA-569D-5044-B45A-96AF0D44D3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F7-490F-AEE4-6AA4ED36D02C}"/>
                </c:ext>
              </c:extLst>
            </c:dLbl>
            <c:dLbl>
              <c:idx val="1"/>
              <c:layout>
                <c:manualLayout>
                  <c:x val="-5.3325093260871051E-2"/>
                  <c:y val="-1.048144104690186E-16"/>
                </c:manualLayout>
              </c:layout>
              <c:tx>
                <c:rich>
                  <a:bodyPr/>
                  <a:lstStyle/>
                  <a:p>
                    <a:fld id="{94E3C01E-16D4-C949-B0BF-3F7B83508C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F7-490F-AEE4-6AA4ED36D02C}"/>
                </c:ext>
              </c:extLst>
            </c:dLbl>
            <c:dLbl>
              <c:idx val="2"/>
              <c:layout>
                <c:manualLayout>
                  <c:x val="-7.7641383258864924E-2"/>
                  <c:y val="0"/>
                </c:manualLayout>
              </c:layout>
              <c:tx>
                <c:rich>
                  <a:bodyPr/>
                  <a:lstStyle/>
                  <a:p>
                    <a:fld id="{F4AD4F30-E96B-6A4E-A30D-25F13906BF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F7-490F-AEE4-6AA4ED36D02C}"/>
                </c:ext>
              </c:extLst>
            </c:dLbl>
            <c:dLbl>
              <c:idx val="3"/>
              <c:layout>
                <c:manualLayout>
                  <c:x val="-0.18374450357686786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C0A64BDB-AE3D-B740-B2AF-DFF2DA01F3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F7-490F-AEE4-6AA4ED36D02C}"/>
                </c:ext>
              </c:extLst>
            </c:dLbl>
            <c:dLbl>
              <c:idx val="4"/>
              <c:layout>
                <c:manualLayout>
                  <c:x val="-0.11686357042915577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D616398E-43EB-884C-A20B-66BDB2082E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6F7-490F-AEE4-6AA4ED36D02C}"/>
                </c:ext>
              </c:extLst>
            </c:dLbl>
            <c:dLbl>
              <c:idx val="5"/>
              <c:layout>
                <c:manualLayout>
                  <c:x val="-0.12881861993092245"/>
                  <c:y val="5.1698646254133265E-17"/>
                </c:manualLayout>
              </c:layout>
              <c:tx>
                <c:rich>
                  <a:bodyPr/>
                  <a:lstStyle/>
                  <a:p>
                    <a:fld id="{00D3B902-C5AD-734F-B9C1-AD97F2CAC7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6F7-490F-AEE4-6AA4ED36D02C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'Football Field'!$B$12:$B$17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Field'!$L$12:$L$17</c:f>
              <c:numCache>
                <c:formatCode>_(* #,##0.0_);_(* \(#,##0.0\);_(* "   -"?_);_(@_)</c:formatCode>
                <c:ptCount val="6"/>
                <c:pt idx="0">
                  <c:v>6.5646508819486584</c:v>
                </c:pt>
                <c:pt idx="1">
                  <c:v>5.9372542559737553</c:v>
                </c:pt>
                <c:pt idx="2">
                  <c:v>9.4738737895629797</c:v>
                </c:pt>
                <c:pt idx="3">
                  <c:v>4.948132652283693</c:v>
                </c:pt>
                <c:pt idx="4">
                  <c:v>5.6496488700292247</c:v>
                </c:pt>
                <c:pt idx="5">
                  <c:v>6.5143304971720184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'Football Field'!$D$12:$D$17</c15:f>
                <c15:dlblRangeCache>
                  <c:ptCount val="6"/>
                  <c:pt idx="0">
                    <c:v> $ 37.2 </c:v>
                  </c:pt>
                  <c:pt idx="1">
                    <c:v> $ 33.6 </c:v>
                  </c:pt>
                  <c:pt idx="2">
                    <c:v> $ 53.7 </c:v>
                  </c:pt>
                  <c:pt idx="3">
                    <c:v> $ 28.0 </c:v>
                  </c:pt>
                  <c:pt idx="4">
                    <c:v> $ 32.0 </c:v>
                  </c:pt>
                  <c:pt idx="5">
                    <c:v> $ 36.9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46F7-490F-AEE4-6AA4ED36D02C}"/>
            </c:ext>
          </c:extLst>
        </c:ser>
        <c:ser>
          <c:idx val="8"/>
          <c:order val="2"/>
          <c:spPr>
            <a:solidFill>
              <a:schemeClr val="bg1">
                <a:lumMod val="75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0.13260570698421129"/>
                  <c:y val="0"/>
                </c:manualLayout>
              </c:layout>
              <c:tx>
                <c:rich>
                  <a:bodyPr/>
                  <a:lstStyle/>
                  <a:p>
                    <a:fld id="{EACCEE63-ABA6-A742-A9D2-6F512D9C47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46F7-490F-AEE4-6AA4ED36D02C}"/>
                </c:ext>
              </c:extLst>
            </c:dLbl>
            <c:dLbl>
              <c:idx val="1"/>
              <c:layout>
                <c:manualLayout>
                  <c:x val="4.1568734034936744E-2"/>
                  <c:y val="-1.048144104690186E-16"/>
                </c:manualLayout>
              </c:layout>
              <c:tx>
                <c:rich>
                  <a:bodyPr/>
                  <a:lstStyle/>
                  <a:p>
                    <a:fld id="{0B9C562D-3143-A943-9CC0-8EBFBD8781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46F7-490F-AEE4-6AA4ED36D02C}"/>
                </c:ext>
              </c:extLst>
            </c:dLbl>
            <c:dLbl>
              <c:idx val="2"/>
              <c:layout>
                <c:manualLayout>
                  <c:x val="7.2943192400544143E-2"/>
                  <c:y val="0"/>
                </c:manualLayout>
              </c:layout>
              <c:tx>
                <c:rich>
                  <a:bodyPr/>
                  <a:lstStyle/>
                  <a:p>
                    <a:fld id="{EC230AAF-7A6B-6C44-AC58-55D908B44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46F7-490F-AEE4-6AA4ED36D02C}"/>
                </c:ext>
              </c:extLst>
            </c:dLbl>
            <c:dLbl>
              <c:idx val="3"/>
              <c:layout>
                <c:manualLayout>
                  <c:x val="0.17772696787795422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45D00726-F7F0-A94D-8FDE-9DE4F9D1E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46F7-490F-AEE4-6AA4ED36D02C}"/>
                </c:ext>
              </c:extLst>
            </c:dLbl>
            <c:dLbl>
              <c:idx val="4"/>
              <c:layout>
                <c:manualLayout>
                  <c:x val="9.6557567850141704E-2"/>
                  <c:y val="-5.6400093539370824E-3"/>
                </c:manualLayout>
              </c:layout>
              <c:tx>
                <c:rich>
                  <a:bodyPr/>
                  <a:lstStyle/>
                  <a:p>
                    <a:fld id="{2E0274DE-E6A5-6A4D-BA03-9E3D1F4C0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46F7-490F-AEE4-6AA4ED36D02C}"/>
                </c:ext>
              </c:extLst>
            </c:dLbl>
            <c:dLbl>
              <c:idx val="5"/>
              <c:layout>
                <c:manualLayout>
                  <c:x val="0.11865195816166973"/>
                  <c:y val="5.1698646254133265E-17"/>
                </c:manualLayout>
              </c:layout>
              <c:tx>
                <c:rich>
                  <a:bodyPr/>
                  <a:lstStyle/>
                  <a:p>
                    <a:fld id="{3F533941-13A2-FC45-B096-B69E9981F9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6F7-490F-AEE4-6AA4ED36D02C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'Football Field'!$B$12:$B$17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Field'!$M$12:$M$17</c:f>
              <c:numCache>
                <c:formatCode>_(* #,##0.00_);_(* \(#,##0.00\);_(* "-"??_);_(@_)</c:formatCode>
                <c:ptCount val="6"/>
                <c:pt idx="0">
                  <c:v>6.5646508819486513</c:v>
                </c:pt>
                <c:pt idx="1">
                  <c:v>5.9372542559737482</c:v>
                </c:pt>
                <c:pt idx="2">
                  <c:v>9.4738737895629797</c:v>
                </c:pt>
                <c:pt idx="3">
                  <c:v>4.9481326522836895</c:v>
                </c:pt>
                <c:pt idx="4">
                  <c:v>5.6496488700292176</c:v>
                </c:pt>
                <c:pt idx="5">
                  <c:v>6.5143304971720113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'Football Field'!$H$12:$H$17</c15:f>
                <c15:dlblRangeCache>
                  <c:ptCount val="6"/>
                  <c:pt idx="0">
                    <c:v> $ 50.3 </c:v>
                  </c:pt>
                  <c:pt idx="1">
                    <c:v> $ 45.5 </c:v>
                  </c:pt>
                  <c:pt idx="2">
                    <c:v> $ 72.6 </c:v>
                  </c:pt>
                  <c:pt idx="3">
                    <c:v> $ 37.9 </c:v>
                  </c:pt>
                  <c:pt idx="4">
                    <c:v> $ 43.3 </c:v>
                  </c:pt>
                  <c:pt idx="5">
                    <c:v> $ 49.9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46F7-490F-AEE4-6AA4ED36D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5639759"/>
        <c:axId val="1629414783"/>
      </c:barChart>
      <c:scatterChart>
        <c:scatterStyle val="smoothMarker"/>
        <c:varyColors val="0"/>
        <c:ser>
          <c:idx val="5"/>
          <c:order val="3"/>
          <c:tx>
            <c:strRef>
              <c:f>'Football Field'!$B$28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flat">
              <a:solidFill>
                <a:srgbClr val="C00000"/>
              </a:solidFill>
              <a:miter lim="800000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9050" cap="flat">
                <a:solidFill>
                  <a:srgbClr val="C00000"/>
                </a:solidFill>
                <a:prstDash val="dash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4-46F7-490F-AEE4-6AA4ED36D02C}"/>
              </c:ext>
            </c:extLst>
          </c:dPt>
          <c:dLbls>
            <c:dLbl>
              <c:idx val="0"/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6F7-490F-AEE4-6AA4ED36D02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6F7-490F-AEE4-6AA4ED36D02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6F7-490F-AEE4-6AA4ED36D02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6F7-490F-AEE4-6AA4ED36D02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6F7-490F-AEE4-6AA4ED36D0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'Football Field'!$D$28:$H$28</c:f>
              <c:numCache>
                <c:formatCode>_(* \$\ #,##0.0_);_(* \$\ \(#,##0.0\);_(* ""\$\ \ \-""?_);_(@_)</c:formatCode>
                <c:ptCount val="5"/>
                <c:pt idx="0">
                  <c:v>46.754198799999926</c:v>
                </c:pt>
                <c:pt idx="1">
                  <c:v>46.754198799999926</c:v>
                </c:pt>
                <c:pt idx="2">
                  <c:v>46.754198799999926</c:v>
                </c:pt>
                <c:pt idx="3">
                  <c:v>46.754198799999926</c:v>
                </c:pt>
                <c:pt idx="4">
                  <c:v>46.754198799999926</c:v>
                </c:pt>
              </c:numCache>
            </c:numRef>
          </c:xVal>
          <c:yVal>
            <c:numRef>
              <c:f>'Football Field'!$K$28:$O$28</c:f>
              <c:numCache>
                <c:formatCode>_(* #,##0.0_);_(* \(#,##0.0\);_(* "   -"?_);_(@_)</c:formatCode>
                <c:ptCount val="5"/>
                <c:pt idx="0">
                  <c:v>1000</c:v>
                </c:pt>
                <c:pt idx="1">
                  <c:v>0</c:v>
                </c:pt>
                <c:pt idx="2" formatCode="_(* #,##0.00_);_(* \(#,##0.00\);_(* &quot;-&quot;??_);_(@_)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46F7-490F-AEE4-6AA4ED36D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76879"/>
        <c:axId val="1544719551"/>
      </c:scatterChart>
      <c:catAx>
        <c:axId val="94563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29414783"/>
        <c:crosses val="autoZero"/>
        <c:auto val="1"/>
        <c:lblAlgn val="ctr"/>
        <c:lblOffset val="100"/>
        <c:noMultiLvlLbl val="0"/>
      </c:catAx>
      <c:valAx>
        <c:axId val="16294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\$\ #,##0.0_);_(* \$\ \(#,##0.0\);_(* &quot;&quot;\$\ \ \-&quot;&quot;?_);_(@_)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45639759"/>
        <c:crosses val="autoZero"/>
        <c:crossBetween val="between"/>
      </c:valAx>
      <c:valAx>
        <c:axId val="1544719551"/>
        <c:scaling>
          <c:orientation val="minMax"/>
          <c:max val="1000"/>
          <c:min val="0"/>
        </c:scaling>
        <c:delete val="0"/>
        <c:axPos val="r"/>
        <c:numFmt formatCode="_(* #,##0.0_);_(* \(#,##0.0\);_(* &quot;   -&quot;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45676879"/>
        <c:crosses val="max"/>
        <c:crossBetween val="midCat"/>
      </c:valAx>
      <c:valAx>
        <c:axId val="945676879"/>
        <c:scaling>
          <c:orientation val="minMax"/>
        </c:scaling>
        <c:delete val="1"/>
        <c:axPos val="b"/>
        <c:numFmt formatCode="_(* \$\ #,##0.0_);_(* \$\ \(#,##0.0\);_(* &quot;&quot;\$\ \ \-&quot;&quot;?_);_(@_)" sourceLinked="1"/>
        <c:majorTickMark val="out"/>
        <c:minorTickMark val="none"/>
        <c:tickLblPos val="nextTo"/>
        <c:crossAx val="15447195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000">
          <a:solidFill>
            <a:sysClr val="windowText" lastClr="000000"/>
          </a:solidFill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75371367627831"/>
          <c:y val="9.9449839894044406E-2"/>
          <c:w val="0.7439453347098034"/>
          <c:h val="0.82318635771119975"/>
        </c:manualLayout>
      </c:layout>
      <c:barChart>
        <c:barDir val="bar"/>
        <c:grouping val="stacked"/>
        <c:varyColors val="0"/>
        <c:ser>
          <c:idx val="6"/>
          <c:order val="0"/>
          <c:spPr>
            <a:noFill/>
          </c:spPr>
          <c:invertIfNegative val="0"/>
          <c:cat>
            <c:strRef>
              <c:f>'Football Field'!$B$36:$B$41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Field'!$K$36:$K$41</c:f>
              <c:numCache>
                <c:formatCode>_(* #,##0.0_);_(* \(#,##0.0\);_(* "   -"?_);_(@_)</c:formatCode>
                <c:ptCount val="6"/>
                <c:pt idx="0">
                  <c:v>7.956437985424837</c:v>
                </c:pt>
                <c:pt idx="1">
                  <c:v>7.1960255222791494</c:v>
                </c:pt>
                <c:pt idx="2">
                  <c:v>11.48245209744106</c:v>
                </c:pt>
                <c:pt idx="3">
                  <c:v>5.9971979164662681</c:v>
                </c:pt>
                <c:pt idx="4">
                  <c:v>6.8474442407011429</c:v>
                </c:pt>
                <c:pt idx="5">
                  <c:v>7.8954490572886904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6-4AB4-941D-5495A26B03C7}"/>
            </c:ext>
          </c:extLst>
        </c:ser>
        <c:ser>
          <c:idx val="7"/>
          <c:order val="1"/>
          <c:spPr>
            <a:solidFill>
              <a:srgbClr val="002060"/>
            </a:solidFill>
          </c:spPr>
          <c:invertIfNegative val="0"/>
          <c:dLbls>
            <c:dLbl>
              <c:idx val="0"/>
              <c:layout>
                <c:manualLayout>
                  <c:x val="-0.13502299659269359"/>
                  <c:y val="0"/>
                </c:manualLayout>
              </c:layout>
              <c:tx>
                <c:rich>
                  <a:bodyPr/>
                  <a:lstStyle/>
                  <a:p>
                    <a:fld id="{98BF37B1-3310-724B-9357-F486DC5275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DD6-4AB4-941D-5495A26B03C7}"/>
                </c:ext>
              </c:extLst>
            </c:dLbl>
            <c:dLbl>
              <c:idx val="1"/>
              <c:layout>
                <c:manualLayout>
                  <c:x val="-5.3325093260871051E-2"/>
                  <c:y val="-1.048144104690186E-16"/>
                </c:manualLayout>
              </c:layout>
              <c:tx>
                <c:rich>
                  <a:bodyPr/>
                  <a:lstStyle/>
                  <a:p>
                    <a:fld id="{829179DF-27A9-324E-84C6-CA24CA219F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DD6-4AB4-941D-5495A26B03C7}"/>
                </c:ext>
              </c:extLst>
            </c:dLbl>
            <c:dLbl>
              <c:idx val="2"/>
              <c:layout>
                <c:manualLayout>
                  <c:x val="-7.7641383258864924E-2"/>
                  <c:y val="0"/>
                </c:manualLayout>
              </c:layout>
              <c:tx>
                <c:rich>
                  <a:bodyPr/>
                  <a:lstStyle/>
                  <a:p>
                    <a:fld id="{0848B342-A28C-6449-BE33-0E1B76A78A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DD6-4AB4-941D-5495A26B03C7}"/>
                </c:ext>
              </c:extLst>
            </c:dLbl>
            <c:dLbl>
              <c:idx val="3"/>
              <c:layout>
                <c:manualLayout>
                  <c:x val="-0.18374450357686786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32244398-5224-F04B-855E-671674F8E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DD6-4AB4-941D-5495A26B03C7}"/>
                </c:ext>
              </c:extLst>
            </c:dLbl>
            <c:dLbl>
              <c:idx val="4"/>
              <c:layout>
                <c:manualLayout>
                  <c:x val="-0.11686357042915577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71087C29-D800-FD4B-B89D-A8C76D90DC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DD6-4AB4-941D-5495A26B03C7}"/>
                </c:ext>
              </c:extLst>
            </c:dLbl>
            <c:dLbl>
              <c:idx val="5"/>
              <c:layout>
                <c:manualLayout>
                  <c:x val="-0.12881861993092245"/>
                  <c:y val="5.1698646254133265E-17"/>
                </c:manualLayout>
              </c:layout>
              <c:tx>
                <c:rich>
                  <a:bodyPr/>
                  <a:lstStyle/>
                  <a:p>
                    <a:fld id="{1EA4E8CE-7A2D-B54D-BF3C-13B096C8B2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DD6-4AB4-941D-5495A26B03C7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'Football Field'!$B$36:$B$41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Field'!$L$36:$L$41</c:f>
              <c:numCache>
                <c:formatCode>_(* #,##0.0_);_(* \(#,##0.0\);_(* "   -"?_);_(@_)</c:formatCode>
                <c:ptCount val="6"/>
                <c:pt idx="0">
                  <c:v>1.404077291545561</c:v>
                </c:pt>
                <c:pt idx="1">
                  <c:v>1.2698868568727919</c:v>
                </c:pt>
                <c:pt idx="2">
                  <c:v>2.0263150760190101</c:v>
                </c:pt>
                <c:pt idx="3">
                  <c:v>1.0583290440822823</c:v>
                </c:pt>
                <c:pt idx="4">
                  <c:v>1.2083725130649094</c:v>
                </c:pt>
                <c:pt idx="5">
                  <c:v>1.3933145395215352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'Football Field'!$D$36:$D$41</c15:f>
                <c15:dlblRangeCache>
                  <c:ptCount val="6"/>
                  <c:pt idx="0">
                    <c:v> 8.0x</c:v>
                  </c:pt>
                  <c:pt idx="1">
                    <c:v> 7.2x</c:v>
                  </c:pt>
                  <c:pt idx="2">
                    <c:v> 11.5x</c:v>
                  </c:pt>
                  <c:pt idx="3">
                    <c:v> 6.0x</c:v>
                  </c:pt>
                  <c:pt idx="4">
                    <c:v> 6.8x</c:v>
                  </c:pt>
                  <c:pt idx="5">
                    <c:v> 7.9x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2DD6-4AB4-941D-5495A26B03C7}"/>
            </c:ext>
          </c:extLst>
        </c:ser>
        <c:ser>
          <c:idx val="8"/>
          <c:order val="2"/>
          <c:spPr>
            <a:solidFill>
              <a:schemeClr val="bg1">
                <a:lumMod val="75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0.13260570698421129"/>
                  <c:y val="0"/>
                </c:manualLayout>
              </c:layout>
              <c:tx>
                <c:rich>
                  <a:bodyPr/>
                  <a:lstStyle/>
                  <a:p>
                    <a:fld id="{FA82CAC5-DA5E-A24A-A0D6-CC8C6F665C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DD6-4AB4-941D-5495A26B03C7}"/>
                </c:ext>
              </c:extLst>
            </c:dLbl>
            <c:dLbl>
              <c:idx val="1"/>
              <c:layout>
                <c:manualLayout>
                  <c:x val="4.1568734034936744E-2"/>
                  <c:y val="-1.048144104690186E-16"/>
                </c:manualLayout>
              </c:layout>
              <c:tx>
                <c:rich>
                  <a:bodyPr/>
                  <a:lstStyle/>
                  <a:p>
                    <a:fld id="{F6D016A3-AD73-B84A-98C8-52C3210B58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DD6-4AB4-941D-5495A26B03C7}"/>
                </c:ext>
              </c:extLst>
            </c:dLbl>
            <c:dLbl>
              <c:idx val="2"/>
              <c:layout>
                <c:manualLayout>
                  <c:x val="7.2943192400544143E-2"/>
                  <c:y val="0"/>
                </c:manualLayout>
              </c:layout>
              <c:tx>
                <c:rich>
                  <a:bodyPr/>
                  <a:lstStyle/>
                  <a:p>
                    <a:fld id="{C417E156-CCEC-5A45-88C0-881B960B55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2DD6-4AB4-941D-5495A26B03C7}"/>
                </c:ext>
              </c:extLst>
            </c:dLbl>
            <c:dLbl>
              <c:idx val="3"/>
              <c:layout>
                <c:manualLayout>
                  <c:x val="0.17772696787795422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D4F1AFA3-A2FC-884A-9444-7544DE891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DD6-4AB4-941D-5495A26B03C7}"/>
                </c:ext>
              </c:extLst>
            </c:dLbl>
            <c:dLbl>
              <c:idx val="4"/>
              <c:layout>
                <c:manualLayout>
                  <c:x val="9.6557567850141704E-2"/>
                  <c:y val="-5.6400093539370824E-3"/>
                </c:manualLayout>
              </c:layout>
              <c:tx>
                <c:rich>
                  <a:bodyPr/>
                  <a:lstStyle/>
                  <a:p>
                    <a:fld id="{9E630434-B27B-944C-B705-B0CBB27165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DD6-4AB4-941D-5495A26B03C7}"/>
                </c:ext>
              </c:extLst>
            </c:dLbl>
            <c:dLbl>
              <c:idx val="5"/>
              <c:layout>
                <c:manualLayout>
                  <c:x val="0.11865195816166973"/>
                  <c:y val="5.1698646254133265E-17"/>
                </c:manualLayout>
              </c:layout>
              <c:tx>
                <c:rich>
                  <a:bodyPr/>
                  <a:lstStyle/>
                  <a:p>
                    <a:fld id="{F7DEEC15-C7C6-1A43-89A4-43C4F5A1E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DD6-4AB4-941D-5495A26B03C7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'Football Field'!$B$36:$B$41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Field'!$M$36:$M$41</c:f>
              <c:numCache>
                <c:formatCode>_(* #,##0.00_);_(* \(#,##0.00\);_(* "-"??_);_(@_)</c:formatCode>
                <c:ptCount val="6"/>
                <c:pt idx="0">
                  <c:v>1.4040772915455584</c:v>
                </c:pt>
                <c:pt idx="1">
                  <c:v>1.2698868568727892</c:v>
                </c:pt>
                <c:pt idx="2">
                  <c:v>2.0263150760190118</c:v>
                </c:pt>
                <c:pt idx="3">
                  <c:v>1.0583290440822823</c:v>
                </c:pt>
                <c:pt idx="4">
                  <c:v>1.2083725130649068</c:v>
                </c:pt>
                <c:pt idx="5">
                  <c:v>1.3933145395215316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'Football Field'!$H$36:$H$41</c15:f>
                <c15:dlblRangeCache>
                  <c:ptCount val="6"/>
                  <c:pt idx="0">
                    <c:v> 10.8x</c:v>
                  </c:pt>
                  <c:pt idx="1">
                    <c:v> 9.7x</c:v>
                  </c:pt>
                  <c:pt idx="2">
                    <c:v> 15.5x</c:v>
                  </c:pt>
                  <c:pt idx="3">
                    <c:v> 8.1x</c:v>
                  </c:pt>
                  <c:pt idx="4">
                    <c:v> 9.3x</c:v>
                  </c:pt>
                  <c:pt idx="5">
                    <c:v> 10.7x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2DD6-4AB4-941D-5495A26B0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5639759"/>
        <c:axId val="1629414783"/>
      </c:barChart>
      <c:scatterChart>
        <c:scatterStyle val="smoothMarker"/>
        <c:varyColors val="0"/>
        <c:ser>
          <c:idx val="5"/>
          <c:order val="3"/>
          <c:tx>
            <c:strRef>
              <c:f>'Football Field'!$B$52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flat">
              <a:solidFill>
                <a:srgbClr val="C00000"/>
              </a:solidFill>
              <a:miter lim="800000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9050" cap="flat">
                <a:solidFill>
                  <a:srgbClr val="C00000"/>
                </a:solidFill>
                <a:prstDash val="dash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0-2DD6-4AB4-941D-5495A26B03C7}"/>
              </c:ext>
            </c:extLst>
          </c:dPt>
          <c:dLbls>
            <c:dLbl>
              <c:idx val="0"/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DD6-4AB4-941D-5495A26B03C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DD6-4AB4-941D-5495A26B03C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DD6-4AB4-941D-5495A26B03C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DD6-4AB4-941D-5495A26B03C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DD6-4AB4-941D-5495A26B03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'Football Field'!$D$52:$H$52</c:f>
              <c:numCache>
                <c:formatCode>_(* #,##0.0\x;_(* \(#,##0.0\)\x;_(* "   -"?_)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xVal>
          <c:yVal>
            <c:numRef>
              <c:f>'Football Field'!$K$52:$O$52</c:f>
              <c:numCache>
                <c:formatCode>_(* #,##0.0_);_(* \(#,##0.0\);_(* "   -"?_);_(@_)</c:formatCode>
                <c:ptCount val="5"/>
                <c:pt idx="0">
                  <c:v>1000</c:v>
                </c:pt>
                <c:pt idx="1">
                  <c:v>0</c:v>
                </c:pt>
                <c:pt idx="2" formatCode="_(* #,##0.00_);_(* \(#,##0.00\);_(* &quot;-&quot;??_);_(@_)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2DD6-4AB4-941D-5495A26B0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76879"/>
        <c:axId val="1544719551"/>
      </c:scatterChart>
      <c:catAx>
        <c:axId val="94563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29414783"/>
        <c:crosses val="autoZero"/>
        <c:auto val="1"/>
        <c:lblAlgn val="ctr"/>
        <c:lblOffset val="100"/>
        <c:noMultiLvlLbl val="0"/>
      </c:catAx>
      <c:valAx>
        <c:axId val="16294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\$\ #,##0.0_);_(* \$\ \(#,##0.0\);_(* &quot;&quot;\$\ \ \-&quot;&quot;?_);_(@_)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45639759"/>
        <c:crosses val="autoZero"/>
        <c:crossBetween val="between"/>
      </c:valAx>
      <c:valAx>
        <c:axId val="1544719551"/>
        <c:scaling>
          <c:orientation val="minMax"/>
          <c:max val="1000"/>
          <c:min val="0"/>
        </c:scaling>
        <c:delete val="0"/>
        <c:axPos val="r"/>
        <c:numFmt formatCode="_(* #,##0.0_);_(* \(#,##0.0\);_(* &quot;   -&quot;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45676879"/>
        <c:crosses val="max"/>
        <c:crossBetween val="midCat"/>
      </c:valAx>
      <c:valAx>
        <c:axId val="945676879"/>
        <c:scaling>
          <c:orientation val="minMax"/>
        </c:scaling>
        <c:delete val="1"/>
        <c:axPos val="b"/>
        <c:numFmt formatCode="_(* #,##0.0\x;_(* \(#,##0.0\)\x;_(* &quot;   -&quot;?_)" sourceLinked="1"/>
        <c:majorTickMark val="out"/>
        <c:minorTickMark val="none"/>
        <c:tickLblPos val="nextTo"/>
        <c:crossAx val="15447195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000">
          <a:solidFill>
            <a:sysClr val="windowText" lastClr="000000"/>
          </a:solidFill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75371367627831"/>
          <c:y val="9.9449839894044406E-2"/>
          <c:w val="0.7439453347098034"/>
          <c:h val="0.82318635771119975"/>
        </c:manualLayout>
      </c:layout>
      <c:barChart>
        <c:barDir val="bar"/>
        <c:grouping val="stacked"/>
        <c:varyColors val="0"/>
        <c:ser>
          <c:idx val="6"/>
          <c:order val="0"/>
          <c:spPr>
            <a:noFill/>
          </c:spPr>
          <c:invertIfNegative val="0"/>
          <c:cat>
            <c:strRef>
              <c:f>'Football Field'!$B$60:$B$65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Field'!$K$60:$K$65</c:f>
              <c:numCache>
                <c:formatCode>_(* #,##0.0_);_(* \(#,##0.0\);_(* "   -"?_);_(@_)</c:formatCode>
                <c:ptCount val="6"/>
                <c:pt idx="0">
                  <c:v>37.199688331042374</c:v>
                </c:pt>
                <c:pt idx="1">
                  <c:v>33.644440783851266</c:v>
                </c:pt>
                <c:pt idx="2">
                  <c:v>53.685284807523544</c:v>
                </c:pt>
                <c:pt idx="3">
                  <c:v>28.039418362940925</c:v>
                </c:pt>
                <c:pt idx="4">
                  <c:v>32.014676930165578</c:v>
                </c:pt>
                <c:pt idx="5">
                  <c:v>36.914539483974742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8-4D0D-BC69-748A32A6F1AB}"/>
            </c:ext>
          </c:extLst>
        </c:ser>
        <c:ser>
          <c:idx val="7"/>
          <c:order val="1"/>
          <c:spPr>
            <a:solidFill>
              <a:srgbClr val="002060"/>
            </a:solidFill>
          </c:spPr>
          <c:invertIfNegative val="0"/>
          <c:dLbls>
            <c:dLbl>
              <c:idx val="0"/>
              <c:layout>
                <c:manualLayout>
                  <c:x val="-0.13502299659269359"/>
                  <c:y val="0"/>
                </c:manualLayout>
              </c:layout>
              <c:tx>
                <c:rich>
                  <a:bodyPr/>
                  <a:lstStyle/>
                  <a:p>
                    <a:fld id="{8DFB090F-CFAE-8249-B622-38C2FA7068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588-4D0D-BC69-748A32A6F1AB}"/>
                </c:ext>
              </c:extLst>
            </c:dLbl>
            <c:dLbl>
              <c:idx val="1"/>
              <c:layout>
                <c:manualLayout>
                  <c:x val="-5.3325093260871051E-2"/>
                  <c:y val="-1.048144104690186E-16"/>
                </c:manualLayout>
              </c:layout>
              <c:tx>
                <c:rich>
                  <a:bodyPr/>
                  <a:lstStyle/>
                  <a:p>
                    <a:fld id="{C25D2469-1EE2-B645-8956-BCA74E7005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588-4D0D-BC69-748A32A6F1AB}"/>
                </c:ext>
              </c:extLst>
            </c:dLbl>
            <c:dLbl>
              <c:idx val="2"/>
              <c:layout>
                <c:manualLayout>
                  <c:x val="-7.7641383258864924E-2"/>
                  <c:y val="0"/>
                </c:manualLayout>
              </c:layout>
              <c:tx>
                <c:rich>
                  <a:bodyPr/>
                  <a:lstStyle/>
                  <a:p>
                    <a:fld id="{B98B5304-4808-DE40-A8E2-FBFC068BC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588-4D0D-BC69-748A32A6F1AB}"/>
                </c:ext>
              </c:extLst>
            </c:dLbl>
            <c:dLbl>
              <c:idx val="3"/>
              <c:layout>
                <c:manualLayout>
                  <c:x val="-0.18374450357686786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CB3D45C9-4EF6-FA43-859A-131B41BD4C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588-4D0D-BC69-748A32A6F1AB}"/>
                </c:ext>
              </c:extLst>
            </c:dLbl>
            <c:dLbl>
              <c:idx val="4"/>
              <c:layout>
                <c:manualLayout>
                  <c:x val="-0.11686357042915577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8A7A3635-CB13-C14C-B361-6FCDC0C50E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588-4D0D-BC69-748A32A6F1AB}"/>
                </c:ext>
              </c:extLst>
            </c:dLbl>
            <c:dLbl>
              <c:idx val="5"/>
              <c:layout>
                <c:manualLayout>
                  <c:x val="-0.12881861993092245"/>
                  <c:y val="5.1698646254133265E-17"/>
                </c:manualLayout>
              </c:layout>
              <c:tx>
                <c:rich>
                  <a:bodyPr/>
                  <a:lstStyle/>
                  <a:p>
                    <a:fld id="{294DDB85-B222-5741-8733-F10B62EF35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588-4D0D-BC69-748A32A6F1AB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'Football Field'!$B$60:$B$65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Field'!$L$60:$L$65</c:f>
              <c:numCache>
                <c:formatCode>_(* #,##0.0_);_(* \(#,##0.0\);_(* "   -"?_);_(@_)</c:formatCode>
                <c:ptCount val="6"/>
                <c:pt idx="0">
                  <c:v>6.5646508819486584</c:v>
                </c:pt>
                <c:pt idx="1">
                  <c:v>5.9372542559737553</c:v>
                </c:pt>
                <c:pt idx="2">
                  <c:v>9.4738737895629797</c:v>
                </c:pt>
                <c:pt idx="3">
                  <c:v>4.948132652283693</c:v>
                </c:pt>
                <c:pt idx="4">
                  <c:v>5.6496488700292247</c:v>
                </c:pt>
                <c:pt idx="5">
                  <c:v>6.5143304971720184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'Football Field'!$D$60:$D$65</c15:f>
                <c15:dlblRangeCache>
                  <c:ptCount val="6"/>
                  <c:pt idx="0">
                    <c:v> $ 37.2 </c:v>
                  </c:pt>
                  <c:pt idx="1">
                    <c:v> $ 33.6 </c:v>
                  </c:pt>
                  <c:pt idx="2">
                    <c:v> $ 53.7 </c:v>
                  </c:pt>
                  <c:pt idx="3">
                    <c:v> $ 28.0 </c:v>
                  </c:pt>
                  <c:pt idx="4">
                    <c:v> $ 32.0 </c:v>
                  </c:pt>
                  <c:pt idx="5">
                    <c:v> $ 36.9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D588-4D0D-BC69-748A32A6F1AB}"/>
            </c:ext>
          </c:extLst>
        </c:ser>
        <c:ser>
          <c:idx val="8"/>
          <c:order val="2"/>
          <c:spPr>
            <a:solidFill>
              <a:schemeClr val="bg1">
                <a:lumMod val="75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0.13260570698421129"/>
                  <c:y val="0"/>
                </c:manualLayout>
              </c:layout>
              <c:tx>
                <c:rich>
                  <a:bodyPr/>
                  <a:lstStyle/>
                  <a:p>
                    <a:fld id="{3222021B-D35F-1A40-9E9D-84DF92329D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588-4D0D-BC69-748A32A6F1AB}"/>
                </c:ext>
              </c:extLst>
            </c:dLbl>
            <c:dLbl>
              <c:idx val="1"/>
              <c:layout>
                <c:manualLayout>
                  <c:x val="4.1568734034936744E-2"/>
                  <c:y val="-1.048144104690186E-16"/>
                </c:manualLayout>
              </c:layout>
              <c:tx>
                <c:rich>
                  <a:bodyPr/>
                  <a:lstStyle/>
                  <a:p>
                    <a:fld id="{98EF4316-AE18-364E-8327-EEA60E1815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588-4D0D-BC69-748A32A6F1AB}"/>
                </c:ext>
              </c:extLst>
            </c:dLbl>
            <c:dLbl>
              <c:idx val="2"/>
              <c:layout>
                <c:manualLayout>
                  <c:x val="7.2943192400544143E-2"/>
                  <c:y val="0"/>
                </c:manualLayout>
              </c:layout>
              <c:tx>
                <c:rich>
                  <a:bodyPr/>
                  <a:lstStyle/>
                  <a:p>
                    <a:fld id="{C8BE0719-3323-2B4D-A69E-2D0077934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588-4D0D-BC69-748A32A6F1AB}"/>
                </c:ext>
              </c:extLst>
            </c:dLbl>
            <c:dLbl>
              <c:idx val="3"/>
              <c:layout>
                <c:manualLayout>
                  <c:x val="0.17772696787795422"/>
                  <c:y val="-5.1698646254133265E-17"/>
                </c:manualLayout>
              </c:layout>
              <c:tx>
                <c:rich>
                  <a:bodyPr/>
                  <a:lstStyle/>
                  <a:p>
                    <a:fld id="{B4636D3D-153C-2540-9171-9C37E2643C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588-4D0D-BC69-748A32A6F1AB}"/>
                </c:ext>
              </c:extLst>
            </c:dLbl>
            <c:dLbl>
              <c:idx val="4"/>
              <c:layout>
                <c:manualLayout>
                  <c:x val="9.6557567850141704E-2"/>
                  <c:y val="-5.6400093539370824E-3"/>
                </c:manualLayout>
              </c:layout>
              <c:tx>
                <c:rich>
                  <a:bodyPr/>
                  <a:lstStyle/>
                  <a:p>
                    <a:fld id="{AA48D144-D58E-D141-8354-D7D9873B4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588-4D0D-BC69-748A32A6F1AB}"/>
                </c:ext>
              </c:extLst>
            </c:dLbl>
            <c:dLbl>
              <c:idx val="5"/>
              <c:layout>
                <c:manualLayout>
                  <c:x val="0.11865195816166973"/>
                  <c:y val="5.1698646254133265E-17"/>
                </c:manualLayout>
              </c:layout>
              <c:tx>
                <c:rich>
                  <a:bodyPr/>
                  <a:lstStyle/>
                  <a:p>
                    <a:fld id="{0A5BF908-816A-2F4A-B6C1-D6333D6B64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588-4D0D-BC69-748A32A6F1AB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'Football Field'!$B$60:$B$65</c:f>
              <c:strCache>
                <c:ptCount val="6"/>
                <c:pt idx="0">
                  <c:v>LBO @15.0% IRR</c:v>
                </c:pt>
                <c:pt idx="1">
                  <c:v>LBO @20.0% IRR</c:v>
                </c:pt>
                <c:pt idx="2">
                  <c:v>LBO @25.0% IRR</c:v>
                </c:pt>
                <c:pt idx="3">
                  <c:v>COMPS</c:v>
                </c:pt>
                <c:pt idx="4">
                  <c:v>FCFE </c:v>
                </c:pt>
                <c:pt idx="5">
                  <c:v>FCFF</c:v>
                </c:pt>
              </c:strCache>
            </c:strRef>
          </c:cat>
          <c:val>
            <c:numRef>
              <c:f>'Football Field'!$M$60:$M$65</c:f>
              <c:numCache>
                <c:formatCode>_(* #,##0.00_);_(* \(#,##0.00\);_(* "-"??_);_(@_)</c:formatCode>
                <c:ptCount val="6"/>
                <c:pt idx="0">
                  <c:v>6.5646508819486513</c:v>
                </c:pt>
                <c:pt idx="1">
                  <c:v>5.9372542559737482</c:v>
                </c:pt>
                <c:pt idx="2">
                  <c:v>9.4738737895629797</c:v>
                </c:pt>
                <c:pt idx="3">
                  <c:v>4.9481326522836895</c:v>
                </c:pt>
                <c:pt idx="4">
                  <c:v>5.6496488700292176</c:v>
                </c:pt>
                <c:pt idx="5">
                  <c:v>6.5143304971720113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'Football Field'!$H$60:$H$65</c15:f>
                <c15:dlblRangeCache>
                  <c:ptCount val="6"/>
                  <c:pt idx="0">
                    <c:v> $ 50.3 </c:v>
                  </c:pt>
                  <c:pt idx="1">
                    <c:v> $ 45.5 </c:v>
                  </c:pt>
                  <c:pt idx="2">
                    <c:v> $ 72.6 </c:v>
                  </c:pt>
                  <c:pt idx="3">
                    <c:v> $ 37.9 </c:v>
                  </c:pt>
                  <c:pt idx="4">
                    <c:v> $ 43.3 </c:v>
                  </c:pt>
                  <c:pt idx="5">
                    <c:v> $ 49.9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D588-4D0D-BC69-748A32A6F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5639759"/>
        <c:axId val="1629414783"/>
      </c:barChart>
      <c:scatterChart>
        <c:scatterStyle val="smoothMarker"/>
        <c:varyColors val="0"/>
        <c:ser>
          <c:idx val="5"/>
          <c:order val="3"/>
          <c:tx>
            <c:strRef>
              <c:f>'Football Field'!$B$76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flat">
              <a:solidFill>
                <a:srgbClr val="C00000"/>
              </a:solidFill>
              <a:miter lim="800000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9050" cap="flat">
                <a:solidFill>
                  <a:srgbClr val="C00000"/>
                </a:solidFill>
                <a:prstDash val="dash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0-D588-4D0D-BC69-748A32A6F1AB}"/>
              </c:ext>
            </c:extLst>
          </c:dPt>
          <c:dLbls>
            <c:dLbl>
              <c:idx val="0"/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588-4D0D-BC69-748A32A6F1A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588-4D0D-BC69-748A32A6F1A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588-4D0D-BC69-748A32A6F1A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588-4D0D-BC69-748A32A6F1A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588-4D0D-BC69-748A32A6F1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'Football Field'!$D$76:$H$76</c:f>
              <c:numCache>
                <c:formatCode>_(* \$\ #,##0.0_);_(* \$\ \(#,##0.0\);_(* ""\$\ \ \-""?_);_(@_)</c:formatCode>
                <c:ptCount val="5"/>
                <c:pt idx="0">
                  <c:v>36.395856285714231</c:v>
                </c:pt>
                <c:pt idx="1">
                  <c:v>36.395856285714231</c:v>
                </c:pt>
                <c:pt idx="2">
                  <c:v>36.395856285714231</c:v>
                </c:pt>
                <c:pt idx="3">
                  <c:v>36.395856285714231</c:v>
                </c:pt>
                <c:pt idx="4">
                  <c:v>36.395856285714231</c:v>
                </c:pt>
              </c:numCache>
            </c:numRef>
          </c:xVal>
          <c:yVal>
            <c:numRef>
              <c:f>'Football Field'!$K$76:$O$76</c:f>
              <c:numCache>
                <c:formatCode>_(* #,##0.0_);_(* \(#,##0.0\);_(* "   -"?_);_(@_)</c:formatCode>
                <c:ptCount val="5"/>
                <c:pt idx="0">
                  <c:v>1000</c:v>
                </c:pt>
                <c:pt idx="1">
                  <c:v>0</c:v>
                </c:pt>
                <c:pt idx="2" formatCode="_(* #,##0.00_);_(* \(#,##0.00\);_(* &quot;-&quot;??_);_(@_)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588-4D0D-BC69-748A32A6F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76879"/>
        <c:axId val="1544719551"/>
      </c:scatterChart>
      <c:catAx>
        <c:axId val="94563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29414783"/>
        <c:crosses val="autoZero"/>
        <c:auto val="1"/>
        <c:lblAlgn val="ctr"/>
        <c:lblOffset val="100"/>
        <c:noMultiLvlLbl val="0"/>
      </c:catAx>
      <c:valAx>
        <c:axId val="16294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\$\ #,##0.0_);_(* \$\ \(#,##0.0\);_(* &quot;&quot;\$\ \ \-&quot;&quot;?_);_(@_)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45639759"/>
        <c:crosses val="autoZero"/>
        <c:crossBetween val="between"/>
      </c:valAx>
      <c:valAx>
        <c:axId val="1544719551"/>
        <c:scaling>
          <c:orientation val="minMax"/>
          <c:max val="1000"/>
          <c:min val="0"/>
        </c:scaling>
        <c:delete val="0"/>
        <c:axPos val="r"/>
        <c:numFmt formatCode="_(* #,##0.0_);_(* \(#,##0.0\);_(* &quot;   -&quot;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45676879"/>
        <c:crosses val="max"/>
        <c:crossBetween val="midCat"/>
      </c:valAx>
      <c:valAx>
        <c:axId val="945676879"/>
        <c:scaling>
          <c:orientation val="minMax"/>
        </c:scaling>
        <c:delete val="1"/>
        <c:axPos val="b"/>
        <c:numFmt formatCode="_(* \$\ #,##0.0_);_(* \$\ \(#,##0.0\);_(* &quot;&quot;\$\ \ \-&quot;&quot;?_);_(@_)" sourceLinked="1"/>
        <c:majorTickMark val="out"/>
        <c:minorTickMark val="none"/>
        <c:tickLblPos val="nextTo"/>
        <c:crossAx val="15447195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000">
          <a:solidFill>
            <a:sysClr val="windowText" lastClr="000000"/>
          </a:solidFill>
          <a:latin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8A5DC75B-D3CF-420F-A9FC-606527564F7B}">
          <cx:dataPt idx="0">
            <cx:spPr>
              <a:solidFill>
                <a:srgbClr val="0E2841">
                  <a:lumMod val="10000"/>
                  <a:lumOff val="90000"/>
                </a:srgbClr>
              </a:solidFill>
            </cx:spPr>
          </cx:dataPt>
          <cx:dataPt idx="1">
            <cx:spPr>
              <a:solidFill>
                <a:srgbClr val="0E2841">
                  <a:lumMod val="10000"/>
                  <a:lumOff val="90000"/>
                </a:srgbClr>
              </a:solidFill>
            </cx:spPr>
          </cx:dataPt>
          <cx:dataPt idx="2">
            <cx:spPr>
              <a:solidFill>
                <a:srgbClr val="00206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Lato" panose="020F0502020204030203" pitchFamily="34" charset="0"/>
                    <a:ea typeface="Lato" panose="020F0502020204030203" pitchFamily="34" charset="0"/>
                    <a:cs typeface="Lato" panose="020F0502020204030203" pitchFamily="34" charset="0"/>
                  </a:defRPr>
                </a:pPr>
                <a:endParaRPr lang="en-US">
                  <a:latin typeface="Lato" panose="020F0502020204030203" pitchFamily="34" charset="0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1">
                <a:solidFill>
                  <a:srgbClr val="595959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 i="1">
              <a:latin typeface="Lato" panose="020F0502020204030203" pitchFamily="34" charset="0"/>
            </a:endParaRPr>
          </a:p>
        </cx:txPr>
      </cx:axis>
      <cx:axis id="1" hidden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>
              <a:latin typeface="Lato" panose="020F0502020204030203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waterfall" uniqueId="{8A5DC75B-D3CF-420F-A9FC-606527564F7B}">
          <cx:dataPt idx="0">
            <cx:spPr>
              <a:solidFill>
                <a:srgbClr val="0E2841">
                  <a:lumMod val="10000"/>
                  <a:lumOff val="90000"/>
                </a:srgbClr>
              </a:solidFill>
            </cx:spPr>
          </cx:dataPt>
          <cx:dataPt idx="1">
            <cx:spPr>
              <a:solidFill>
                <a:srgbClr val="0E2841">
                  <a:lumMod val="10000"/>
                  <a:lumOff val="90000"/>
                </a:srgbClr>
              </a:solidFill>
            </cx:spPr>
          </cx:dataPt>
          <cx:dataPt idx="2">
            <cx:spPr>
              <a:solidFill>
                <a:srgbClr val="00206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Lato" panose="020F0502020204030203" pitchFamily="34" charset="0"/>
                    <a:ea typeface="Lato" panose="020F0502020204030203" pitchFamily="34" charset="0"/>
                    <a:cs typeface="Lato" panose="020F0502020204030203" pitchFamily="34" charset="0"/>
                  </a:defRPr>
                </a:pPr>
                <a:endParaRPr lang="en-US">
                  <a:latin typeface="Lato" panose="020F0502020204030203" pitchFamily="34" charset="0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1">
                <a:solidFill>
                  <a:srgbClr val="595959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 i="1">
              <a:latin typeface="Lato" panose="020F0502020204030203" pitchFamily="34" charset="0"/>
            </a:endParaRPr>
          </a:p>
        </cx:txPr>
      </cx:axis>
      <cx:axis id="1" hidden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>
              <a:latin typeface="Lato" panose="020F0502020204030203" pitchFamily="34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plotArea>
      <cx:plotAreaRegion>
        <cx:series layoutId="waterfall" uniqueId="{18D0C5D2-801F-4FC5-8C1B-33B3E7F07B8F}">
          <cx:spPr>
            <a:solidFill>
              <a:schemeClr val="tx2">
                <a:lumMod val="10000"/>
                <a:lumOff val="90000"/>
              </a:schemeClr>
            </a:solidFill>
          </cx:spPr>
          <cx:dataPt idx="3">
            <cx:spPr>
              <a:solidFill>
                <a:srgbClr val="00206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Lato" panose="020F0502020204030203" pitchFamily="34" charset="0"/>
                    <a:ea typeface="Lato" panose="020F0502020204030203" pitchFamily="34" charset="0"/>
                    <a:cs typeface="Lato" panose="020F0502020204030203" pitchFamily="34" charset="0"/>
                  </a:defRPr>
                </a:pPr>
                <a:endParaRPr lang="en-US" sz="1000">
                  <a:latin typeface="Lato" panose="020F0502020204030203" pitchFamily="34" charset="0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000" b="0" i="1">
                <a:solidFill>
                  <a:srgbClr val="595959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 sz="1000" i="1">
              <a:latin typeface="Lato" panose="020F0502020204030203" pitchFamily="34" charset="0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000" b="0" i="0">
                <a:solidFill>
                  <a:srgbClr val="595959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 sz="1000">
              <a:latin typeface="Lato" panose="020F0502020204030203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LP Cash Flow</a:t>
            </a:r>
          </a:p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2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USD M</a:t>
            </a:r>
          </a:p>
        </cx:rich>
      </cx:tx>
    </cx:title>
    <cx:plotArea>
      <cx:plotAreaRegion>
        <cx:series layoutId="waterfall" uniqueId="{6B488321-2D64-4396-8469-EAAA28F0EE5A}">
          <cx:spPr>
            <a:solidFill>
              <a:schemeClr val="bg1">
                <a:lumMod val="85000"/>
              </a:schemeClr>
            </a:solidFill>
          </cx:spPr>
          <cx:dataPt idx="0">
            <cx:spPr>
              <a:solidFill>
                <a:srgbClr val="002060"/>
              </a:solidFill>
            </cx:spPr>
          </cx:dataPt>
          <cx:dataPt idx="5">
            <cx:spPr>
              <a:solidFill>
                <a:srgbClr val="00206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050" b="0" i="0">
                    <a:solidFill>
                      <a:srgbClr val="595959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 sz="105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1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i="1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 hidden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GPs Cash Flow</a:t>
            </a:r>
          </a:p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USD M</a:t>
            </a:r>
          </a:p>
        </cx:rich>
      </cx:tx>
    </cx:title>
    <cx:plotArea>
      <cx:plotAreaRegion>
        <cx:series layoutId="waterfall" uniqueId="{E286D1E1-2DC8-41E9-A109-507525242EB7}">
          <cx:spPr>
            <a:solidFill>
              <a:schemeClr val="bg1">
                <a:lumMod val="75000"/>
              </a:schemeClr>
            </a:solidFill>
          </cx:spPr>
          <cx:dataPt idx="0">
            <cx:spPr>
              <a:solidFill>
                <a:srgbClr val="002060"/>
              </a:solidFill>
            </cx:spPr>
          </cx:dataPt>
          <cx:dataPt idx="5">
            <cx:spPr>
              <a:solidFill>
                <a:srgbClr val="002060"/>
              </a:solidFill>
            </cx:spPr>
          </cx:dataPt>
          <cx:dataPt idx="10">
            <cx:spPr>
              <a:solidFill>
                <a:srgbClr val="00206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5"/>
              <cx:idx val="10"/>
            </cx:subtotals>
          </cx:layoutPr>
        </cx:series>
      </cx:plotAreaRegion>
      <cx:axis id="0">
        <cx:catScaling gapWidth="0.5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0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2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microsoft.com/office/2014/relationships/chartEx" Target="../charts/chartEx1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244925</xdr:colOff>
      <xdr:row>14</xdr:row>
      <xdr:rowOff>162098</xdr:rowOff>
    </xdr:from>
    <xdr:to>
      <xdr:col>12</xdr:col>
      <xdr:colOff>143435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ED3A1-89F1-C5A7-36CB-6803DCE7F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322729</xdr:colOff>
      <xdr:row>14</xdr:row>
      <xdr:rowOff>162098</xdr:rowOff>
    </xdr:from>
    <xdr:to>
      <xdr:col>16</xdr:col>
      <xdr:colOff>4931</xdr:colOff>
      <xdr:row>26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B8919C-E95C-FCFD-99BE-7D1EF837F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39220</xdr:colOff>
      <xdr:row>47</xdr:row>
      <xdr:rowOff>134917</xdr:rowOff>
    </xdr:from>
    <xdr:to>
      <xdr:col>17</xdr:col>
      <xdr:colOff>89648</xdr:colOff>
      <xdr:row>58</xdr:row>
      <xdr:rowOff>119677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81F39B-B722-6D98-8F47-B5A65B7D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161193</xdr:colOff>
      <xdr:row>78</xdr:row>
      <xdr:rowOff>114973</xdr:rowOff>
    </xdr:from>
    <xdr:to>
      <xdr:col>17</xdr:col>
      <xdr:colOff>38686</xdr:colOff>
      <xdr:row>89</xdr:row>
      <xdr:rowOff>72393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1474B0-5FF2-ACB0-BCFD-546DFF2E8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82027</xdr:colOff>
      <xdr:row>110</xdr:row>
      <xdr:rowOff>87405</xdr:rowOff>
    </xdr:from>
    <xdr:to>
      <xdr:col>15</xdr:col>
      <xdr:colOff>394447</xdr:colOff>
      <xdr:row>121</xdr:row>
      <xdr:rowOff>72165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AD275C-E460-9B95-611A-00639A801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120226</xdr:colOff>
      <xdr:row>137</xdr:row>
      <xdr:rowOff>102448</xdr:rowOff>
    </xdr:from>
    <xdr:to>
      <xdr:col>11</xdr:col>
      <xdr:colOff>190500</xdr:colOff>
      <xdr:row>148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884809-EB99-5107-CBE1-E5830F9B9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184272</xdr:colOff>
      <xdr:row>230</xdr:row>
      <xdr:rowOff>80683</xdr:rowOff>
    </xdr:from>
    <xdr:to>
      <xdr:col>15</xdr:col>
      <xdr:colOff>403412</xdr:colOff>
      <xdr:row>241</xdr:row>
      <xdr:rowOff>2989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31C4C5-7262-CC34-D616-AAEA5706A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178294</xdr:colOff>
      <xdr:row>248</xdr:row>
      <xdr:rowOff>121767</xdr:rowOff>
    </xdr:from>
    <xdr:to>
      <xdr:col>15</xdr:col>
      <xdr:colOff>457199</xdr:colOff>
      <xdr:row>258</xdr:row>
      <xdr:rowOff>134470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1BBB60-DFC4-BFD7-CAE7-B38F20D97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56084</xdr:colOff>
      <xdr:row>281</xdr:row>
      <xdr:rowOff>108294</xdr:rowOff>
    </xdr:from>
    <xdr:to>
      <xdr:col>7</xdr:col>
      <xdr:colOff>331694</xdr:colOff>
      <xdr:row>292</xdr:row>
      <xdr:rowOff>53786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D82C1F5-C830-3F3C-EDF0-AD1EEB2F46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484" y="45091694"/>
              <a:ext cx="5977910" cy="17615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324024</xdr:colOff>
      <xdr:row>281</xdr:row>
      <xdr:rowOff>108828</xdr:rowOff>
    </xdr:from>
    <xdr:to>
      <xdr:col>13</xdr:col>
      <xdr:colOff>573741</xdr:colOff>
      <xdr:row>292</xdr:row>
      <xdr:rowOff>44820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30486EA-46D7-EE78-2667-6FB2DC974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65049</xdr:colOff>
      <xdr:row>314</xdr:row>
      <xdr:rowOff>135190</xdr:rowOff>
    </xdr:from>
    <xdr:to>
      <xdr:col>7</xdr:col>
      <xdr:colOff>340659</xdr:colOff>
      <xdr:row>325</xdr:row>
      <xdr:rowOff>80683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571A7BA9-6C79-4340-AC1B-AEBEF922F0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449" y="50566890"/>
              <a:ext cx="5977910" cy="17615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332989</xdr:colOff>
      <xdr:row>314</xdr:row>
      <xdr:rowOff>135724</xdr:rowOff>
    </xdr:from>
    <xdr:to>
      <xdr:col>14</xdr:col>
      <xdr:colOff>0</xdr:colOff>
      <xdr:row>325</xdr:row>
      <xdr:rowOff>71717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440DF21-ECAF-467A-B92C-B0C0E19E4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152401</xdr:colOff>
      <xdr:row>340</xdr:row>
      <xdr:rowOff>107578</xdr:rowOff>
    </xdr:from>
    <xdr:to>
      <xdr:col>13</xdr:col>
      <xdr:colOff>1</xdr:colOff>
      <xdr:row>353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E181F79D-375B-4587-6291-C64672E79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1" y="54831878"/>
              <a:ext cx="8763000" cy="20387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168729</xdr:colOff>
      <xdr:row>164</xdr:row>
      <xdr:rowOff>35858</xdr:rowOff>
    </xdr:from>
    <xdr:to>
      <xdr:col>12</xdr:col>
      <xdr:colOff>21771</xdr:colOff>
      <xdr:row>181</xdr:row>
      <xdr:rowOff>17929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C117699B-D445-E5E8-0F2A-6A13088CBA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129" y="25677158"/>
              <a:ext cx="8260442" cy="27887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58270</xdr:colOff>
      <xdr:row>201</xdr:row>
      <xdr:rowOff>58271</xdr:rowOff>
    </xdr:from>
    <xdr:to>
      <xdr:col>16</xdr:col>
      <xdr:colOff>17929</xdr:colOff>
      <xdr:row>220</xdr:row>
      <xdr:rowOff>80682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DD90712-CBC9-3990-2CE2-A87C31850D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670" y="31833671"/>
              <a:ext cx="10399059" cy="31593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45981</xdr:colOff>
      <xdr:row>8</xdr:row>
      <xdr:rowOff>145437</xdr:rowOff>
    </xdr:from>
    <xdr:to>
      <xdr:col>18</xdr:col>
      <xdr:colOff>27389</xdr:colOff>
      <xdr:row>29</xdr:row>
      <xdr:rowOff>96079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734D95-ABD0-458B-BDF8-533B6FF05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45981</xdr:colOff>
      <xdr:row>32</xdr:row>
      <xdr:rowOff>145437</xdr:rowOff>
    </xdr:from>
    <xdr:to>
      <xdr:col>18</xdr:col>
      <xdr:colOff>27389</xdr:colOff>
      <xdr:row>53</xdr:row>
      <xdr:rowOff>96079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DA1A43-CC18-4F20-BC76-6220D5B0C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45981</xdr:colOff>
      <xdr:row>56</xdr:row>
      <xdr:rowOff>145437</xdr:rowOff>
    </xdr:from>
    <xdr:to>
      <xdr:col>18</xdr:col>
      <xdr:colOff>27389</xdr:colOff>
      <xdr:row>77</xdr:row>
      <xdr:rowOff>96079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F51B96-D8B1-4AD7-9293-970A4668D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5EDD2-2B50-44D2-A1E7-9CCEB61FDF00}" name="Table1" displayName="Table1" ref="B25:K121" totalsRowShown="0" headerRowDxfId="1" dataDxfId="0" headerRowBorderDxfId="68" tableBorderDxfId="67">
  <autoFilter ref="B25:K121" xr:uid="{3E65EDD2-2B50-44D2-A1E7-9CCEB61FDF00}">
    <filterColumn colId="0">
      <filters>
        <filter val="Auto Parts"/>
      </filters>
    </filterColumn>
  </autoFilter>
  <sortState xmlns:xlrd2="http://schemas.microsoft.com/office/spreadsheetml/2017/richdata2" ref="B26:K121">
    <sortCondition descending="1" ref="E25:E121"/>
  </sortState>
  <tableColumns count="10">
    <tableColumn id="1" xr3:uid="{EB119B2B-4CE3-4033-BE3E-EE871CC0D507}" name="Industry Name" dataDxfId="11"/>
    <tableColumn id="2" xr3:uid="{3F616FDA-A911-454D-A5FB-38568CDC247A}" name="Number of firms" dataDxfId="10"/>
    <tableColumn id="3" xr3:uid="{31032C5F-5DCF-414E-B1C4-C4E95FD8DF36}" name="EV/EBITDAR&amp;D" dataDxfId="9"/>
    <tableColumn id="4" xr3:uid="{9899303E-445B-4183-A507-3138AD3D6439}" name="EV/EBITDA" dataDxfId="8"/>
    <tableColumn id="5" xr3:uid="{4191CF99-D7DD-4725-8EAB-5CB0D14A087E}" name="EV/EBIT" dataDxfId="7"/>
    <tableColumn id="6" xr3:uid="{FC3C3B1C-BEE4-415E-81BE-EEBD9D7D21D8}" name="EV/EBIT (1-t)" dataDxfId="6"/>
    <tableColumn id="7" xr3:uid="{8B8819CD-DF35-4317-9408-2E7D03473C12}" name="EV/EBITDAR&amp;D2" dataDxfId="5"/>
    <tableColumn id="8" xr3:uid="{3FE2EB3A-D7B2-4809-966F-1D7220EB2077}" name="EV/EBITDA3" dataDxfId="4"/>
    <tableColumn id="9" xr3:uid="{847C3CD9-588F-4B4B-9729-A72A603EF157}" name="EV/EBIT4" dataDxfId="3"/>
    <tableColumn id="10" xr3:uid="{84DAB217-6A84-41BE-84EE-D58A6D2C1B69}" name="EV/EBIT (1-t)5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B3844-3012-426F-842C-013214ADDF09}" name="Table16" displayName="Table16" ref="A20:X116" totalsRowShown="0" headerRowDxfId="66" headerRowBorderDxfId="65" tableBorderDxfId="64">
  <autoFilter ref="A20:X116" xr:uid="{59CB3844-3012-426F-842C-013214ADDF09}"/>
  <tableColumns count="24">
    <tableColumn id="1" xr3:uid="{BA0024D6-FBE6-41A3-96D4-F781C3BC2384}" name="Year" dataDxfId="63"/>
    <tableColumn id="2" xr3:uid="{F8834A63-EC35-4B58-8B9C-52CC755C47FE}" name="S&amp;P 500 (includes dividends)" dataDxfId="62"/>
    <tableColumn id="3" xr3:uid="{39F6AB93-AF13-426C-9E96-1A4BFC3263A3}" name="3-month T.Bill" dataDxfId="61"/>
    <tableColumn id="4" xr3:uid="{88D321F1-EA0A-4658-96F8-95C2EDC1CC83}" name="US T. Bond (10-year)" dataDxfId="60"/>
    <tableColumn id="16" xr3:uid="{649D4F71-5E37-4BA2-9B49-1679086C8BBD}" name=" Baa Corporate Bond" dataDxfId="59"/>
    <tableColumn id="15" xr3:uid="{F6CE4A65-8400-46B4-B82B-0FF59CD556D2}" name="Real Estate" dataDxfId="58"/>
    <tableColumn id="24" xr3:uid="{26ED51AA-4163-409B-960F-56D19FCA07D6}" name="Gold*" dataDxfId="57"/>
    <tableColumn id="5" xr3:uid="{80DA0E74-5B61-49E1-8C6F-59F683971018}" name="S&amp;P 500 (includes dividends)3" dataDxfId="56" dataCellStyle="Currency"/>
    <tableColumn id="6" xr3:uid="{158CD049-ACD4-4598-B0C4-929058BD55A7}" name="3-month T.Bill4" dataDxfId="55" dataCellStyle="Currency"/>
    <tableColumn id="7" xr3:uid="{1458AF98-2335-4E3D-9291-B72B37477F61}" name="US T. Bond5" dataDxfId="54" dataCellStyle="Currency"/>
    <tableColumn id="17" xr3:uid="{5B3CB85B-1606-4502-822B-CCDBE74CD8F1}" name=" Baa Corporate Bond2" dataDxfId="53" dataCellStyle="Currency"/>
    <tableColumn id="20" xr3:uid="{BD781D2E-C20E-42C0-AA42-1951E253AB5F}" name="Real Estate2" dataDxfId="52" dataCellStyle="Currency">
      <calculatedColumnFormula>L20*(1+F21)</calculatedColumnFormula>
    </tableColumn>
    <tableColumn id="25" xr3:uid="{5AE380A5-ADF9-4D5E-9B63-C4029EF2D068}" name="Gold2" dataDxfId="51" dataCellStyle="Currency">
      <calculatedColumnFormula>M20*(1+G21)</calculatedColumnFormula>
    </tableColumn>
    <tableColumn id="8" xr3:uid="{8429E011-3E6E-46B6-965E-39D926032D02}" name="Stocks - Bills" dataDxfId="50">
      <calculatedColumnFormula>B21-C21</calculatedColumnFormula>
    </tableColumn>
    <tableColumn id="9" xr3:uid="{4EC53D29-FBD1-4C24-A89E-A053A9C79495}" name="Stocks - Bonds" dataDxfId="49">
      <calculatedColumnFormula>B21-D21</calculatedColumnFormula>
    </tableColumn>
    <tableColumn id="18" xr3:uid="{B4E7E26E-DFD2-413F-9E03-8AE5D98DC21D}" name="Stocks - Baa Corp Bond" dataDxfId="48">
      <calculatedColumnFormula>B21-E21</calculatedColumnFormula>
    </tableColumn>
    <tableColumn id="10" xr3:uid="{DDECE84C-18A9-43F9-97D2-1F819566D849}" name="Historical risk premium" dataDxfId="47"/>
    <tableColumn id="11" xr3:uid="{43BD12BF-F119-435A-9C45-C765EA5FE59F}" name="Inflation Rate" dataDxfId="46" dataCellStyle="Percent"/>
    <tableColumn id="12" xr3:uid="{8E7B1CD8-ADC9-4B9B-86E1-6CF67E813DF1}" name="S&amp;P 500 (includes dividends)2" dataDxfId="45">
      <calculatedColumnFormula>(1+B21)/(1+$R21)-1</calculatedColumnFormula>
    </tableColumn>
    <tableColumn id="13" xr3:uid="{2478BB46-8B67-4136-B9EC-2DA39225DFEB}" name="3-month T. Bill (Real)" dataDxfId="44">
      <calculatedColumnFormula>(1+C21)/(1+$R21)-1</calculatedColumnFormula>
    </tableColumn>
    <tableColumn id="14" xr3:uid="{CDCB7A19-2342-4ADC-A941-150937D541CD}" name="!0-year T.Bonds" dataDxfId="43">
      <calculatedColumnFormula>(1+D21)/(1+$R21)-1</calculatedColumnFormula>
    </tableColumn>
    <tableColumn id="19" xr3:uid="{AF5E6DE6-7F4E-4304-ADBC-A0421A3A5A14}" name="Baa Corp Bonds" dataDxfId="42">
      <calculatedColumnFormula>(1+E21)/(1+$R21)-1</calculatedColumnFormula>
    </tableColumn>
    <tableColumn id="21" xr3:uid="{9A4E4EE1-188A-4BAD-98F1-E987441183A5}" name="Real Estate3" dataDxfId="41">
      <calculatedColumnFormula>(1+F21)/(1+$R21)-1</calculatedColumnFormula>
    </tableColumn>
    <tableColumn id="26" xr3:uid="{1D84FA5E-EE5F-4322-8404-19D51BD90CD4}" name="Gold" dataDxfId="40">
      <calculatedColumnFormula>(1+G21)/(1+$R21)-1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133BC-DAA4-4709-B557-FE97CB36C338}" name="Table12" displayName="Table12" ref="A10:P106" totalsRowShown="0" headerRowDxfId="39" dataDxfId="37" headerRowBorderDxfId="38" tableBorderDxfId="36" totalsRowBorderDxfId="35">
  <autoFilter ref="A10:P106" xr:uid="{118133BC-DAA4-4709-B557-FE97CB36C338}">
    <filterColumn colId="0">
      <filters>
        <filter val="Auto Parts"/>
      </filters>
    </filterColumn>
  </autoFilter>
  <tableColumns count="16">
    <tableColumn id="1" xr3:uid="{6248501C-AA28-4BEF-BD7E-44D2EBEC62B0}" name="Industry Name" dataDxfId="34"/>
    <tableColumn id="2" xr3:uid="{637EC3F9-D7E4-415A-96F2-D98D53BB3D55}" name="Number of firms" dataDxfId="33"/>
    <tableColumn id="3" xr3:uid="{582496F7-4279-4E0F-8E59-49B1D8CCC3DB}" name="Beta " dataDxfId="32"/>
    <tableColumn id="4" xr3:uid="{F00B8D77-D26F-4C90-BB57-0CAFBDF0E9DA}" name="D/E Ratio" dataDxfId="31"/>
    <tableColumn id="5" xr3:uid="{76C142E5-E554-4107-BEA1-949C79E13A21}" name="Effective Tax rate" dataDxfId="30"/>
    <tableColumn id="6" xr3:uid="{7075B4AA-A9FF-44E8-AE04-86852CAC1C40}" name="Unlevered beta" dataDxfId="29">
      <calculatedColumnFormula>IF($F$8="Effective",C11/(1+(1-E11)*D11),C11/(1+(1-$F$9)*D11))</calculatedColumnFormula>
    </tableColumn>
    <tableColumn id="7" xr3:uid="{D3A6F5A3-9A66-410B-B7D8-534D3CBC3A90}" name="Cash/Firm value" dataDxfId="28"/>
    <tableColumn id="8" xr3:uid="{141C1C3B-EB7A-49D8-9F00-0D5D74ACE167}" name="Unlevered beta corrected for cash" dataDxfId="27">
      <calculatedColumnFormula>F11/(1-G11)</calculatedColumnFormula>
    </tableColumn>
    <tableColumn id="9" xr3:uid="{BE16D0F5-ABAA-40A2-A5D7-69D0AFC09B0B}" name="HiLo Risk" dataDxfId="26"/>
    <tableColumn id="10" xr3:uid="{7A720B6E-DA8C-447C-9C85-4A8824CD709A}" name="Standard deviation of equity" dataDxfId="25"/>
    <tableColumn id="11" xr3:uid="{0B9C4597-7DFC-4024-8C78-375FE0457995}" name="Standard deviation in operating income (last 10 years)" dataDxfId="24" dataCellStyle="Percent"/>
    <tableColumn id="13" xr3:uid="{8198DFB8-A6D5-45F2-BEAB-F9D9D6587512}" name="2020" dataDxfId="23"/>
    <tableColumn id="14" xr3:uid="{C6E8BC3F-B243-44B1-931F-CC91CE9CD2B7}" name="2021" dataDxfId="22"/>
    <tableColumn id="18" xr3:uid="{8EC205DC-31B1-414C-BD8B-3917291775D3}" name="2022" dataDxfId="21"/>
    <tableColumn id="19" xr3:uid="{C2185C7C-55E9-4151-8549-DBF5B5511754}" name="2023" dataDxfId="20"/>
    <tableColumn id="17" xr3:uid="{DA5E6737-E189-42C0-BB55-74AB470FCB4B}" name="Average (2020-24)" dataDxfId="1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hyperlink" Target="https://youtu.be/P87WFfCMvYI?si=HuU1ji5YwZiTrVaU" TargetMode="Externa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stern.nyu.edu/~adamodar/New_Home_Page/data.html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hyperlink" Target="https://youtu.be/rxmttgceSjg" TargetMode="Externa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B92D-E1BF-46C9-9335-854CC88082D2}">
  <sheetPr>
    <tabColor theme="1" tint="4.9989318521683403E-2"/>
  </sheetPr>
  <dimension ref="B7:C20"/>
  <sheetViews>
    <sheetView showGridLines="0" tabSelected="1" zoomScale="150" zoomScaleNormal="150" workbookViewId="0">
      <selection activeCell="H8" sqref="H8"/>
    </sheetView>
  </sheetViews>
  <sheetFormatPr baseColWidth="10" defaultColWidth="8.6640625" defaultRowHeight="15"/>
  <cols>
    <col min="1" max="1" width="2.1640625" style="247" bestFit="1" customWidth="1"/>
    <col min="2" max="2" width="37.6640625" style="247" customWidth="1"/>
    <col min="3" max="3" width="13.33203125" style="247" bestFit="1" customWidth="1"/>
    <col min="4" max="16384" width="8.6640625" style="247"/>
  </cols>
  <sheetData>
    <row r="7" spans="2:3" ht="29">
      <c r="B7" s="246" t="s">
        <v>913</v>
      </c>
    </row>
    <row r="8" spans="2:3">
      <c r="B8" s="247" t="s">
        <v>0</v>
      </c>
    </row>
    <row r="10" spans="2:3">
      <c r="B10" s="248" t="s">
        <v>9</v>
      </c>
    </row>
    <row r="11" spans="2:3">
      <c r="C11" s="249">
        <v>45559</v>
      </c>
    </row>
    <row r="13" spans="2:3">
      <c r="B13" s="250" t="s">
        <v>1</v>
      </c>
    </row>
    <row r="14" spans="2:3">
      <c r="C14" s="251" t="s">
        <v>2</v>
      </c>
    </row>
    <row r="15" spans="2:3">
      <c r="C15" s="252" t="s">
        <v>3</v>
      </c>
    </row>
    <row r="16" spans="2:3">
      <c r="C16" s="253" t="s">
        <v>4</v>
      </c>
    </row>
    <row r="17" spans="3:3">
      <c r="C17" s="254" t="s">
        <v>5</v>
      </c>
    </row>
    <row r="18" spans="3:3">
      <c r="C18" s="255" t="s">
        <v>6</v>
      </c>
    </row>
    <row r="19" spans="3:3">
      <c r="C19" s="256" t="s">
        <v>7</v>
      </c>
    </row>
    <row r="20" spans="3:3">
      <c r="C20" s="2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2302-1EC2-4854-843F-1FBBD4FC861D}">
  <sheetPr>
    <tabColor rgb="FF002060"/>
    <outlinePr summaryBelow="0"/>
  </sheetPr>
  <dimension ref="A2:I126"/>
  <sheetViews>
    <sheetView showGridLines="0" zoomScale="150" zoomScaleNormal="150" workbookViewId="0">
      <pane ySplit="12" topLeftCell="A117" activePane="bottomLeft" state="frozen"/>
      <selection pane="bottomLeft" activeCell="G8" sqref="G8"/>
    </sheetView>
  </sheetViews>
  <sheetFormatPr baseColWidth="10" defaultColWidth="8.6640625" defaultRowHeight="16" outlineLevelRow="1"/>
  <cols>
    <col min="1" max="1" width="2" style="180" bestFit="1" customWidth="1"/>
    <col min="2" max="2" width="34.1640625" style="180" bestFit="1" customWidth="1"/>
    <col min="3" max="3" width="18.1640625" style="180" bestFit="1" customWidth="1"/>
    <col min="4" max="4" width="19.1640625" style="180" customWidth="1"/>
    <col min="5" max="6" width="11.1640625" style="180" bestFit="1" customWidth="1"/>
    <col min="7" max="7" width="26.1640625" style="180" bestFit="1" customWidth="1"/>
    <col min="8" max="8" width="10.6640625" style="180" bestFit="1" customWidth="1"/>
    <col min="9" max="9" width="9.5" style="180" bestFit="1" customWidth="1"/>
    <col min="10" max="16384" width="8.6640625" style="180"/>
  </cols>
  <sheetData>
    <row r="2" spans="1:6">
      <c r="A2" s="177" t="s">
        <v>10</v>
      </c>
      <c r="B2" s="178" t="s">
        <v>219</v>
      </c>
      <c r="C2" s="178"/>
      <c r="D2" s="179"/>
    </row>
    <row r="3" spans="1:6">
      <c r="B3" s="181" t="str">
        <f>+Scenarios!B3</f>
        <v>Live Scenario</v>
      </c>
      <c r="C3" s="182" t="str">
        <f>+Scenarios!C3</f>
        <v>Selection</v>
      </c>
      <c r="D3" s="183" t="str">
        <f>+Scenarios!D3</f>
        <v>Inorganic Acquisitions</v>
      </c>
    </row>
    <row r="4" spans="1:6" outlineLevel="1">
      <c r="B4" s="184" t="s">
        <v>220</v>
      </c>
      <c r="C4" s="182" t="s">
        <v>14</v>
      </c>
      <c r="D4" s="185">
        <f>AVERAGE(Model!O191:X191)</f>
        <v>8.671174765588284E-2</v>
      </c>
      <c r="E4" s="186"/>
      <c r="F4" s="186"/>
    </row>
    <row r="5" spans="1:6" outlineLevel="1">
      <c r="B5" s="184" t="s">
        <v>221</v>
      </c>
      <c r="C5" s="182" t="s">
        <v>14</v>
      </c>
      <c r="D5" s="185">
        <f>AVERAGE(Model!O192:X192)</f>
        <v>2.7535590762637903E-2</v>
      </c>
      <c r="E5" s="186"/>
      <c r="F5" s="186"/>
    </row>
    <row r="6" spans="1:6" outlineLevel="1">
      <c r="B6" s="184" t="str">
        <f>+Model!B321</f>
        <v>Unlevered IRR</v>
      </c>
      <c r="C6" s="182" t="s">
        <v>14</v>
      </c>
      <c r="D6" s="185">
        <f>+Model!D321</f>
        <v>0.27867027094547425</v>
      </c>
      <c r="E6" s="187"/>
      <c r="F6" s="186"/>
    </row>
    <row r="7" spans="1:6" outlineLevel="1">
      <c r="B7" s="184" t="str">
        <f>+B83</f>
        <v>Total Cost of Debt</v>
      </c>
      <c r="C7" s="182" t="str">
        <f>+C83</f>
        <v>%</v>
      </c>
      <c r="D7" s="188">
        <f>IFERROR(+D83,"n.a.")</f>
        <v>0.1687335662136471</v>
      </c>
      <c r="E7" s="187"/>
      <c r="F7" s="186"/>
    </row>
    <row r="8" spans="1:6" outlineLevel="1">
      <c r="B8" s="184" t="s">
        <v>393</v>
      </c>
      <c r="C8" s="182" t="s">
        <v>394</v>
      </c>
      <c r="D8" s="189">
        <f>+D84</f>
        <v>10</v>
      </c>
      <c r="E8" s="187"/>
      <c r="F8" s="186"/>
    </row>
    <row r="9" spans="1:6" outlineLevel="1">
      <c r="B9" s="184" t="s">
        <v>166</v>
      </c>
      <c r="C9" s="182" t="s">
        <v>14</v>
      </c>
      <c r="D9" s="190">
        <f>+Model!D341</f>
        <v>0.39345196829848961</v>
      </c>
      <c r="E9" s="187"/>
      <c r="F9" s="186"/>
    </row>
    <row r="10" spans="1:6" outlineLevel="1">
      <c r="B10" s="184" t="s">
        <v>734</v>
      </c>
      <c r="C10" s="182" t="s">
        <v>113</v>
      </c>
      <c r="D10" s="191">
        <f>+Model!D342</f>
        <v>3.3191748572114497</v>
      </c>
      <c r="E10" s="187"/>
      <c r="F10" s="186"/>
    </row>
    <row r="11" spans="1:6" outlineLevel="1">
      <c r="B11" s="184" t="s">
        <v>736</v>
      </c>
      <c r="C11" s="182" t="s">
        <v>7</v>
      </c>
      <c r="D11" s="192">
        <f>+Model!D10</f>
        <v>21.358342514285692</v>
      </c>
      <c r="E11" s="187"/>
      <c r="F11" s="186"/>
    </row>
    <row r="12" spans="1:6" outlineLevel="1">
      <c r="B12" s="184" t="s">
        <v>214</v>
      </c>
      <c r="C12" s="182" t="s">
        <v>7</v>
      </c>
      <c r="D12" s="193">
        <f>ROUND(ABS(Model!C13)+ABS(Model!E13),6)</f>
        <v>0</v>
      </c>
    </row>
    <row r="14" spans="1:6">
      <c r="A14" s="177" t="s">
        <v>10</v>
      </c>
      <c r="B14" s="178" t="s">
        <v>63</v>
      </c>
      <c r="C14" s="178"/>
      <c r="D14" s="179"/>
    </row>
    <row r="15" spans="1:6" outlineLevel="1">
      <c r="B15" s="181" t="s">
        <v>212</v>
      </c>
      <c r="C15" s="182" t="s">
        <v>14</v>
      </c>
      <c r="D15" s="194">
        <v>0.03</v>
      </c>
      <c r="E15" s="194"/>
    </row>
    <row r="16" spans="1:6" ht="12.5" customHeight="1">
      <c r="B16" s="195"/>
      <c r="C16" s="196"/>
      <c r="D16" s="197"/>
    </row>
    <row r="17" spans="1:6" ht="12.5" customHeight="1">
      <c r="A17" s="177" t="s">
        <v>10</v>
      </c>
      <c r="B17" s="178" t="s">
        <v>31</v>
      </c>
      <c r="C17" s="178"/>
      <c r="D17" s="179"/>
    </row>
    <row r="18" spans="1:6" ht="12.5" customHeight="1" outlineLevel="1">
      <c r="B18" s="195" t="s">
        <v>62</v>
      </c>
      <c r="C18" s="182" t="s">
        <v>14</v>
      </c>
      <c r="D18" s="185">
        <f>+'Historic FS'!I20</f>
        <v>0.64010902882040377</v>
      </c>
    </row>
    <row r="19" spans="1:6" ht="12.5" customHeight="1">
      <c r="B19" s="198"/>
      <c r="C19" s="199"/>
      <c r="D19" s="200"/>
    </row>
    <row r="20" spans="1:6">
      <c r="A20" s="177" t="s">
        <v>10</v>
      </c>
      <c r="B20" s="178" t="s">
        <v>32</v>
      </c>
      <c r="C20" s="178"/>
      <c r="D20" s="179"/>
    </row>
    <row r="21" spans="1:6" outlineLevel="1">
      <c r="B21" s="184" t="s">
        <v>75</v>
      </c>
      <c r="C21" s="182" t="s">
        <v>14</v>
      </c>
      <c r="D21" s="185">
        <f>+Model!N45</f>
        <v>0.54118165041722699</v>
      </c>
    </row>
    <row r="22" spans="1:6">
      <c r="B22" s="184"/>
    </row>
    <row r="23" spans="1:6">
      <c r="A23" s="177" t="s">
        <v>10</v>
      </c>
      <c r="B23" s="178" t="s">
        <v>85</v>
      </c>
      <c r="C23" s="178"/>
      <c r="D23" s="179"/>
    </row>
    <row r="24" spans="1:6" outlineLevel="1">
      <c r="B24" s="184" t="s">
        <v>213</v>
      </c>
      <c r="C24" s="182" t="s">
        <v>14</v>
      </c>
      <c r="D24" s="194">
        <v>0.01</v>
      </c>
    </row>
    <row r="25" spans="1:6">
      <c r="F25" s="201"/>
    </row>
    <row r="26" spans="1:6">
      <c r="A26" s="177" t="s">
        <v>10</v>
      </c>
      <c r="B26" s="178" t="s">
        <v>34</v>
      </c>
      <c r="C26" s="178"/>
      <c r="D26" s="179"/>
      <c r="F26" s="201"/>
    </row>
    <row r="27" spans="1:6" outlineLevel="1">
      <c r="B27" s="184" t="s">
        <v>82</v>
      </c>
      <c r="C27" s="182" t="s">
        <v>14</v>
      </c>
      <c r="D27" s="194">
        <v>0.1</v>
      </c>
      <c r="F27" s="186"/>
    </row>
    <row r="28" spans="1:6" outlineLevel="1">
      <c r="B28" s="184" t="s">
        <v>83</v>
      </c>
      <c r="C28" s="182" t="s">
        <v>14</v>
      </c>
      <c r="D28" s="194">
        <v>0.1</v>
      </c>
    </row>
    <row r="30" spans="1:6">
      <c r="A30" s="177" t="s">
        <v>10</v>
      </c>
      <c r="B30" s="178" t="s">
        <v>215</v>
      </c>
      <c r="C30" s="178"/>
      <c r="D30" s="179"/>
    </row>
    <row r="31" spans="1:6" outlineLevel="1">
      <c r="B31" s="184" t="s">
        <v>94</v>
      </c>
      <c r="C31" s="182" t="s">
        <v>92</v>
      </c>
      <c r="D31" s="202">
        <f>+'Historic FS'!I49</f>
        <v>0.93429623030221209</v>
      </c>
    </row>
    <row r="32" spans="1:6" outlineLevel="1">
      <c r="B32" s="184" t="s">
        <v>91</v>
      </c>
      <c r="C32" s="182" t="s">
        <v>181</v>
      </c>
      <c r="D32" s="203">
        <v>0</v>
      </c>
    </row>
    <row r="33" spans="1:6" outlineLevel="1">
      <c r="B33" s="184" t="s">
        <v>45</v>
      </c>
      <c r="C33" s="182" t="s">
        <v>96</v>
      </c>
      <c r="D33" s="202">
        <f>+'Historic FS'!I50</f>
        <v>17.398916777470326</v>
      </c>
    </row>
    <row r="35" spans="1:6">
      <c r="A35" s="177" t="s">
        <v>10</v>
      </c>
      <c r="B35" s="178" t="s">
        <v>361</v>
      </c>
      <c r="C35" s="178"/>
      <c r="D35" s="179"/>
    </row>
    <row r="36" spans="1:6" outlineLevel="1">
      <c r="A36" s="204"/>
      <c r="B36" s="181" t="s">
        <v>365</v>
      </c>
      <c r="C36" s="182" t="s">
        <v>111</v>
      </c>
      <c r="D36" s="205">
        <f>+Valuation!H35</f>
        <v>12.499653784402328</v>
      </c>
    </row>
    <row r="37" spans="1:6" outlineLevel="1">
      <c r="A37" s="204"/>
      <c r="B37" s="181" t="s">
        <v>366</v>
      </c>
      <c r="C37" s="182" t="s">
        <v>111</v>
      </c>
      <c r="D37" s="205">
        <f>+Valuation!H52</f>
        <v>3.6337084988274024</v>
      </c>
      <c r="E37" s="206"/>
    </row>
    <row r="38" spans="1:6" outlineLevel="1">
      <c r="A38" s="204"/>
      <c r="B38" s="181" t="s">
        <v>697</v>
      </c>
      <c r="C38" s="182" t="s">
        <v>111</v>
      </c>
      <c r="D38" s="205">
        <f>+Valuation!H67</f>
        <v>13.50876717346007</v>
      </c>
      <c r="E38" s="206"/>
    </row>
    <row r="39" spans="1:6" outlineLevel="1">
      <c r="A39" s="204"/>
      <c r="B39" s="207" t="s">
        <v>703</v>
      </c>
      <c r="C39" s="208" t="s">
        <v>111</v>
      </c>
      <c r="D39" s="209">
        <f>+Comps!E113</f>
        <v>7.0555269605485504</v>
      </c>
    </row>
    <row r="40" spans="1:6" s="213" customFormat="1" outlineLevel="1">
      <c r="A40" s="204"/>
      <c r="B40" s="210" t="s">
        <v>364</v>
      </c>
      <c r="C40" s="211" t="s">
        <v>111</v>
      </c>
      <c r="D40" s="212">
        <f>+AVERAGE(D36:D39)</f>
        <v>9.1744141043095873</v>
      </c>
    </row>
    <row r="41" spans="1:6" outlineLevel="1"/>
    <row r="42" spans="1:6" outlineLevel="1">
      <c r="B42" s="184" t="s">
        <v>367</v>
      </c>
      <c r="C42" s="182" t="s">
        <v>67</v>
      </c>
      <c r="D42" s="214">
        <f>+Model!N178</f>
        <v>4.6754198799999926</v>
      </c>
      <c r="E42" s="215"/>
    </row>
    <row r="43" spans="1:6" outlineLevel="1">
      <c r="B43" s="216" t="s">
        <v>368</v>
      </c>
      <c r="C43" s="208" t="s">
        <v>111</v>
      </c>
      <c r="D43" s="217">
        <v>10</v>
      </c>
    </row>
    <row r="44" spans="1:6" s="213" customFormat="1" outlineLevel="1">
      <c r="B44" s="213" t="s">
        <v>108</v>
      </c>
      <c r="C44" s="211" t="s">
        <v>67</v>
      </c>
      <c r="D44" s="218">
        <f>+D42*D43</f>
        <v>46.754198799999926</v>
      </c>
      <c r="E44" s="219"/>
      <c r="F44" s="219"/>
    </row>
    <row r="45" spans="1:6" s="213" customFormat="1" outlineLevel="1">
      <c r="B45" s="184" t="s">
        <v>371</v>
      </c>
      <c r="C45" s="182" t="s">
        <v>67</v>
      </c>
      <c r="D45" s="220">
        <f>-Model!G204</f>
        <v>-1.9739156899999999</v>
      </c>
      <c r="E45" s="219"/>
      <c r="F45" s="219"/>
    </row>
    <row r="46" spans="1:6" s="213" customFormat="1" outlineLevel="1">
      <c r="B46" s="216" t="s">
        <v>109</v>
      </c>
      <c r="C46" s="208" t="s">
        <v>67</v>
      </c>
      <c r="D46" s="221">
        <v>3</v>
      </c>
      <c r="E46" s="219"/>
      <c r="F46" s="219"/>
    </row>
    <row r="47" spans="1:6" s="213" customFormat="1" outlineLevel="1">
      <c r="B47" s="213" t="s">
        <v>110</v>
      </c>
      <c r="C47" s="211" t="s">
        <v>67</v>
      </c>
      <c r="D47" s="218">
        <f>SUM(D44:D46)</f>
        <v>47.780283109999928</v>
      </c>
      <c r="E47" s="219"/>
      <c r="F47" s="219"/>
    </row>
    <row r="48" spans="1:6" s="213" customFormat="1" outlineLevel="1">
      <c r="C48" s="211"/>
      <c r="D48" s="222"/>
    </row>
    <row r="49" spans="1:9" s="213" customFormat="1" outlineLevel="1">
      <c r="B49" s="184" t="s">
        <v>716</v>
      </c>
      <c r="C49" s="182" t="s">
        <v>67</v>
      </c>
      <c r="D49" s="220">
        <f>+D76-D75</f>
        <v>13.358342514285692</v>
      </c>
    </row>
    <row r="50" spans="1:9" s="213" customFormat="1" outlineLevel="1">
      <c r="B50" s="184" t="s">
        <v>716</v>
      </c>
      <c r="C50" s="182" t="s">
        <v>401</v>
      </c>
      <c r="D50" s="223">
        <f>+D49/D42</f>
        <v>2.8571428571428568</v>
      </c>
    </row>
    <row r="51" spans="1:9" s="213" customFormat="1" outlineLevel="1">
      <c r="B51" s="184" t="s">
        <v>542</v>
      </c>
      <c r="C51" s="182" t="s">
        <v>360</v>
      </c>
      <c r="D51" s="224">
        <f>+D74</f>
        <v>0.2857142857142857</v>
      </c>
    </row>
    <row r="52" spans="1:9" s="213" customFormat="1" outlineLevel="1">
      <c r="B52" s="184"/>
      <c r="C52" s="182"/>
      <c r="D52" s="224"/>
    </row>
    <row r="53" spans="1:9" s="213" customFormat="1" outlineLevel="1">
      <c r="B53" s="184" t="s">
        <v>402</v>
      </c>
      <c r="C53" s="182" t="s">
        <v>67</v>
      </c>
      <c r="D53" s="220">
        <f>+D44-D49</f>
        <v>33.395856285714231</v>
      </c>
    </row>
    <row r="54" spans="1:9" s="213" customFormat="1" outlineLevel="1">
      <c r="B54" s="184" t="str">
        <f>+B62</f>
        <v>Equity injections as pure equity</v>
      </c>
      <c r="C54" s="182" t="str">
        <f>+C62</f>
        <v>%</v>
      </c>
      <c r="D54" s="225">
        <f t="shared" ref="D54" si="0">+D62</f>
        <v>0.54</v>
      </c>
      <c r="E54" s="226"/>
    </row>
    <row r="55" spans="1:9" s="213" customFormat="1" outlineLevel="1">
      <c r="B55" s="184" t="s">
        <v>403</v>
      </c>
      <c r="C55" s="182" t="s">
        <v>67</v>
      </c>
      <c r="D55" s="220">
        <f>+D53*D54</f>
        <v>18.033762394285684</v>
      </c>
    </row>
    <row r="56" spans="1:9" s="213" customFormat="1" outlineLevel="1">
      <c r="B56" s="184" t="s">
        <v>404</v>
      </c>
      <c r="C56" s="182" t="s">
        <v>67</v>
      </c>
      <c r="D56" s="220">
        <f>+D53*(1-D54)</f>
        <v>15.362093891428545</v>
      </c>
    </row>
    <row r="57" spans="1:9" s="213" customFormat="1" outlineLevel="1">
      <c r="C57" s="211"/>
      <c r="D57" s="222"/>
    </row>
    <row r="58" spans="1:9" s="213" customFormat="1" outlineLevel="1">
      <c r="B58" s="184" t="s">
        <v>369</v>
      </c>
      <c r="C58" s="182" t="s">
        <v>111</v>
      </c>
      <c r="D58" s="227">
        <v>10</v>
      </c>
    </row>
    <row r="59" spans="1:9" outlineLevel="1">
      <c r="B59" s="184" t="s">
        <v>370</v>
      </c>
      <c r="C59" s="182" t="s">
        <v>165</v>
      </c>
      <c r="D59" s="228">
        <v>2028</v>
      </c>
    </row>
    <row r="61" spans="1:9">
      <c r="A61" s="177" t="s">
        <v>10</v>
      </c>
      <c r="B61" s="178" t="s">
        <v>216</v>
      </c>
      <c r="C61" s="178"/>
      <c r="D61" s="179"/>
      <c r="H61" s="186"/>
      <c r="I61" s="186"/>
    </row>
    <row r="62" spans="1:9" outlineLevel="1">
      <c r="B62" s="184" t="s">
        <v>218</v>
      </c>
      <c r="C62" s="182" t="s">
        <v>14</v>
      </c>
      <c r="D62" s="224">
        <f>1-D64</f>
        <v>0.54</v>
      </c>
      <c r="F62" s="201"/>
      <c r="H62" s="186"/>
      <c r="I62" s="186"/>
    </row>
    <row r="63" spans="1:9" outlineLevel="1">
      <c r="B63" s="184"/>
      <c r="C63" s="182"/>
      <c r="D63" s="194"/>
      <c r="F63" s="201"/>
      <c r="H63" s="186"/>
      <c r="I63" s="186"/>
    </row>
    <row r="64" spans="1:9" outlineLevel="1">
      <c r="B64" s="184" t="s">
        <v>217</v>
      </c>
      <c r="C64" s="182" t="s">
        <v>14</v>
      </c>
      <c r="D64" s="194">
        <v>0.46</v>
      </c>
      <c r="E64" s="194">
        <v>0</v>
      </c>
      <c r="F64" s="201"/>
      <c r="H64" s="186"/>
      <c r="I64" s="186"/>
    </row>
    <row r="65" spans="1:9" outlineLevel="1">
      <c r="B65" s="184" t="s">
        <v>222</v>
      </c>
      <c r="C65" s="182" t="s">
        <v>14</v>
      </c>
      <c r="D65" s="194">
        <v>0.12</v>
      </c>
      <c r="H65" s="186"/>
      <c r="I65" s="186"/>
    </row>
    <row r="66" spans="1:9" outlineLevel="1">
      <c r="B66" s="184"/>
      <c r="H66" s="186"/>
      <c r="I66" s="186"/>
    </row>
    <row r="67" spans="1:9" outlineLevel="1">
      <c r="B67" s="184" t="s">
        <v>223</v>
      </c>
      <c r="C67" s="182" t="s">
        <v>224</v>
      </c>
      <c r="D67" s="229">
        <v>2100</v>
      </c>
      <c r="H67" s="186"/>
      <c r="I67" s="186"/>
    </row>
    <row r="68" spans="1:9" outlineLevel="1">
      <c r="B68" s="184" t="s">
        <v>225</v>
      </c>
      <c r="C68" s="182" t="s">
        <v>226</v>
      </c>
      <c r="D68" s="230">
        <f>+D67</f>
        <v>2100</v>
      </c>
      <c r="H68" s="186"/>
    </row>
    <row r="69" spans="1:9">
      <c r="H69" s="186"/>
    </row>
    <row r="70" spans="1:9">
      <c r="A70" s="177" t="s">
        <v>10</v>
      </c>
      <c r="B70" s="178" t="s">
        <v>717</v>
      </c>
      <c r="C70" s="178"/>
      <c r="D70" s="179"/>
    </row>
    <row r="71" spans="1:9" outlineLevel="1">
      <c r="B71" s="184" t="s">
        <v>560</v>
      </c>
      <c r="C71" s="182" t="s">
        <v>549</v>
      </c>
      <c r="D71" s="231" cm="1">
        <f t="array" ref="D71">+INDEX(Scenarios!D26:G26,0,MATCH(Scenarios!D15,Scenarios!D19:G19,0))</f>
        <v>1</v>
      </c>
      <c r="E71" s="231"/>
    </row>
    <row r="72" spans="1:9" outlineLevel="1">
      <c r="B72" s="184"/>
      <c r="C72" s="182"/>
      <c r="D72" s="231"/>
    </row>
    <row r="73" spans="1:9" outlineLevel="1">
      <c r="B73" s="184" t="s">
        <v>353</v>
      </c>
      <c r="C73" s="182" t="s">
        <v>165</v>
      </c>
      <c r="D73" s="228">
        <v>2024</v>
      </c>
    </row>
    <row r="74" spans="1:9" outlineLevel="1">
      <c r="B74" s="184" t="s">
        <v>355</v>
      </c>
      <c r="C74" s="182" t="s">
        <v>360</v>
      </c>
      <c r="D74" s="194">
        <v>0.2857142857142857</v>
      </c>
      <c r="E74" s="186"/>
    </row>
    <row r="75" spans="1:9" outlineLevel="1">
      <c r="B75" s="184" t="s">
        <v>738</v>
      </c>
      <c r="C75" s="182" t="s">
        <v>67</v>
      </c>
      <c r="D75" s="232">
        <v>8</v>
      </c>
      <c r="E75" s="201"/>
    </row>
    <row r="76" spans="1:9" outlineLevel="1">
      <c r="B76" s="184" t="s">
        <v>355</v>
      </c>
      <c r="C76" s="182" t="s">
        <v>67</v>
      </c>
      <c r="D76" s="220">
        <f>+D44*D74*D71+D75</f>
        <v>21.358342514285692</v>
      </c>
      <c r="E76" s="186"/>
    </row>
    <row r="77" spans="1:9" outlineLevel="1">
      <c r="B77" s="184" t="s">
        <v>356</v>
      </c>
      <c r="C77" s="182" t="s">
        <v>113</v>
      </c>
      <c r="D77" s="227">
        <v>5</v>
      </c>
    </row>
    <row r="78" spans="1:9" outlineLevel="1">
      <c r="B78" s="184" t="s">
        <v>400</v>
      </c>
      <c r="C78" s="182" t="s">
        <v>113</v>
      </c>
      <c r="D78" s="233">
        <f>IFERROR(+Model!D141,"n.a.")</f>
        <v>0.62679746582917262</v>
      </c>
    </row>
    <row r="79" spans="1:9" outlineLevel="1">
      <c r="B79" s="184" t="s">
        <v>357</v>
      </c>
      <c r="C79" s="182" t="s">
        <v>358</v>
      </c>
      <c r="D79" s="234">
        <v>0.16</v>
      </c>
      <c r="E79" s="234"/>
    </row>
    <row r="80" spans="1:9" outlineLevel="1">
      <c r="B80" s="184" t="s">
        <v>359</v>
      </c>
      <c r="C80" s="182" t="s">
        <v>14</v>
      </c>
      <c r="D80" s="194">
        <v>0.03</v>
      </c>
    </row>
    <row r="81" spans="1:5" outlineLevel="1">
      <c r="B81" s="184" t="s">
        <v>388</v>
      </c>
      <c r="C81" s="182" t="s">
        <v>67</v>
      </c>
      <c r="D81" s="235">
        <f>0.15*D71</f>
        <v>0.15</v>
      </c>
      <c r="E81" s="235"/>
    </row>
    <row r="82" spans="1:5" outlineLevel="1">
      <c r="B82" s="184" t="s">
        <v>389</v>
      </c>
      <c r="C82" s="182" t="s">
        <v>67</v>
      </c>
      <c r="D82" s="235">
        <f>0.15*D71</f>
        <v>0.15</v>
      </c>
      <c r="E82" s="235"/>
    </row>
    <row r="83" spans="1:5" outlineLevel="1">
      <c r="B83" s="184" t="s">
        <v>391</v>
      </c>
      <c r="C83" s="182" t="s">
        <v>14</v>
      </c>
      <c r="D83" s="236">
        <f>IFERROR(+Model!D160,"n.a.")</f>
        <v>0.1687335662136471</v>
      </c>
    </row>
    <row r="84" spans="1:5" outlineLevel="1">
      <c r="B84" s="184" t="s">
        <v>393</v>
      </c>
      <c r="C84" s="182" t="s">
        <v>394</v>
      </c>
      <c r="D84" s="214">
        <f>+SUM(Model!O125:X125)</f>
        <v>10</v>
      </c>
    </row>
    <row r="85" spans="1:5" outlineLevel="1">
      <c r="B85" s="184" t="s">
        <v>393</v>
      </c>
      <c r="C85" s="182" t="s">
        <v>435</v>
      </c>
      <c r="D85" s="237">
        <f>2024+D84-1</f>
        <v>2033</v>
      </c>
    </row>
    <row r="86" spans="1:5" outlineLevel="1"/>
    <row r="87" spans="1:5" outlineLevel="1">
      <c r="B87" s="180" t="s">
        <v>434</v>
      </c>
      <c r="C87" s="182" t="s">
        <v>7</v>
      </c>
      <c r="D87" s="238">
        <f>+Model!X130</f>
        <v>21.358342514285692</v>
      </c>
    </row>
    <row r="89" spans="1:5">
      <c r="A89" s="177" t="s">
        <v>10</v>
      </c>
      <c r="B89" s="178" t="s">
        <v>862</v>
      </c>
      <c r="C89" s="178"/>
      <c r="D89" s="179"/>
    </row>
    <row r="90" spans="1:5" outlineLevel="1">
      <c r="B90" s="180" t="s">
        <v>762</v>
      </c>
      <c r="C90" s="182" t="s">
        <v>770</v>
      </c>
      <c r="D90" s="194">
        <v>0.1</v>
      </c>
    </row>
    <row r="91" spans="1:5" outlineLevel="1">
      <c r="B91" s="180" t="s">
        <v>762</v>
      </c>
      <c r="C91" s="182" t="s">
        <v>871</v>
      </c>
      <c r="D91" s="214">
        <f>+Model!D350</f>
        <v>4.1713727653851063</v>
      </c>
    </row>
    <row r="92" spans="1:5" outlineLevel="1">
      <c r="C92" s="182"/>
    </row>
    <row r="93" spans="1:5" outlineLevel="1">
      <c r="B93" s="180" t="s">
        <v>828</v>
      </c>
      <c r="C93" s="182" t="s">
        <v>770</v>
      </c>
      <c r="D93" s="224">
        <f>1-D90</f>
        <v>0.9</v>
      </c>
    </row>
    <row r="94" spans="1:5" outlineLevel="1">
      <c r="B94" s="180" t="s">
        <v>828</v>
      </c>
      <c r="C94" s="182" t="s">
        <v>871</v>
      </c>
      <c r="D94" s="214">
        <f>+Model!D349</f>
        <v>37.542354888465951</v>
      </c>
    </row>
    <row r="95" spans="1:5" outlineLevel="1">
      <c r="C95" s="182"/>
      <c r="D95" s="224"/>
    </row>
    <row r="96" spans="1:5" outlineLevel="1">
      <c r="B96" s="180" t="s">
        <v>864</v>
      </c>
      <c r="C96" s="182" t="s">
        <v>767</v>
      </c>
      <c r="D96" s="239">
        <v>1.4</v>
      </c>
    </row>
    <row r="97" spans="2:4" outlineLevel="1">
      <c r="B97" s="180" t="s">
        <v>863</v>
      </c>
      <c r="C97" s="182" t="s">
        <v>14</v>
      </c>
      <c r="D97" s="185">
        <f>+Model!D356</f>
        <v>8.7757305937277152E-2</v>
      </c>
    </row>
    <row r="98" spans="2:4" outlineLevel="1">
      <c r="C98" s="182"/>
      <c r="D98" s="185"/>
    </row>
    <row r="99" spans="2:4" outlineLevel="1">
      <c r="B99" s="180" t="s">
        <v>760</v>
      </c>
      <c r="C99" s="182" t="s">
        <v>784</v>
      </c>
      <c r="D99" s="194">
        <v>0.2</v>
      </c>
    </row>
    <row r="100" spans="2:4" outlineLevel="1">
      <c r="C100" s="182"/>
      <c r="D100" s="194"/>
    </row>
    <row r="101" spans="2:4" outlineLevel="1">
      <c r="B101" s="180" t="s">
        <v>792</v>
      </c>
      <c r="C101" s="182" t="s">
        <v>113</v>
      </c>
      <c r="D101" s="227">
        <v>2.5</v>
      </c>
    </row>
    <row r="102" spans="2:4" outlineLevel="1">
      <c r="B102" s="180" t="s">
        <v>795</v>
      </c>
      <c r="C102" s="182" t="s">
        <v>14</v>
      </c>
      <c r="D102" s="194">
        <v>0.8</v>
      </c>
    </row>
    <row r="103" spans="2:4" outlineLevel="1">
      <c r="B103" s="180" t="s">
        <v>794</v>
      </c>
      <c r="C103" s="182" t="s">
        <v>14</v>
      </c>
      <c r="D103" s="224">
        <f>1-D102</f>
        <v>0.19999999999999996</v>
      </c>
    </row>
    <row r="104" spans="2:4" outlineLevel="1">
      <c r="C104" s="182"/>
      <c r="D104" s="194"/>
    </row>
    <row r="105" spans="2:4" outlineLevel="1">
      <c r="B105" s="180" t="s">
        <v>811</v>
      </c>
      <c r="C105" s="182" t="s">
        <v>113</v>
      </c>
      <c r="D105" s="227">
        <v>3.5</v>
      </c>
    </row>
    <row r="106" spans="2:4" outlineLevel="1">
      <c r="B106" s="180" t="s">
        <v>816</v>
      </c>
      <c r="C106" s="182" t="s">
        <v>14</v>
      </c>
      <c r="D106" s="194">
        <v>0.75</v>
      </c>
    </row>
    <row r="107" spans="2:4" outlineLevel="1">
      <c r="B107" s="180" t="s">
        <v>817</v>
      </c>
      <c r="C107" s="182" t="s">
        <v>14</v>
      </c>
      <c r="D107" s="224">
        <f>1-D106</f>
        <v>0.25</v>
      </c>
    </row>
    <row r="108" spans="2:4" outlineLevel="1">
      <c r="C108" s="182"/>
      <c r="D108" s="194"/>
    </row>
    <row r="109" spans="2:4" outlineLevel="1">
      <c r="B109" s="180" t="s">
        <v>821</v>
      </c>
      <c r="C109" s="182" t="s">
        <v>14</v>
      </c>
      <c r="D109" s="194">
        <v>0.7</v>
      </c>
    </row>
    <row r="110" spans="2:4" outlineLevel="1">
      <c r="B110" s="180" t="s">
        <v>822</v>
      </c>
      <c r="C110" s="182" t="s">
        <v>14</v>
      </c>
      <c r="D110" s="224">
        <f>1-D109</f>
        <v>0.30000000000000004</v>
      </c>
    </row>
    <row r="111" spans="2:4" outlineLevel="1">
      <c r="C111" s="182"/>
      <c r="D111" s="194"/>
    </row>
    <row r="112" spans="2:4" outlineLevel="1">
      <c r="B112" s="240" t="str">
        <f>+Model!B545</f>
        <v>LPs IRR</v>
      </c>
      <c r="C112" s="182" t="s">
        <v>14</v>
      </c>
      <c r="D112" s="241">
        <f>+Model!D545</f>
        <v>0.33575782100732843</v>
      </c>
    </row>
    <row r="113" spans="1:6" outlineLevel="1">
      <c r="B113" s="240" t="str">
        <f>+Model!B546</f>
        <v>LPs MoIC</v>
      </c>
      <c r="C113" s="182" t="s">
        <v>113</v>
      </c>
      <c r="D113" s="242">
        <f>+Model!D546</f>
        <v>2.8331311429084693</v>
      </c>
    </row>
    <row r="114" spans="1:6" outlineLevel="1">
      <c r="B114" s="240"/>
      <c r="C114" s="182"/>
      <c r="D114" s="243"/>
    </row>
    <row r="115" spans="1:6" outlineLevel="1">
      <c r="B115" s="240" t="str">
        <f>+Model!B564</f>
        <v>GPs IRR  (Carried Interest Inc)</v>
      </c>
      <c r="C115" s="182" t="str">
        <f>+Model!C564</f>
        <v>%</v>
      </c>
      <c r="D115" s="241">
        <f>+Model!D564</f>
        <v>0.73681686632134347</v>
      </c>
    </row>
    <row r="116" spans="1:6" outlineLevel="1">
      <c r="B116" s="240" t="str">
        <f>+Model!B565</f>
        <v>GPs MoIC (Carried Interest Inc)</v>
      </c>
      <c r="C116" s="182" t="s">
        <v>113</v>
      </c>
      <c r="D116" s="242">
        <f>+Model!D565</f>
        <v>7.6935682859366983</v>
      </c>
    </row>
    <row r="117" spans="1:6" outlineLevel="1">
      <c r="C117" s="182"/>
      <c r="D117" s="186"/>
    </row>
    <row r="118" spans="1:6" outlineLevel="1">
      <c r="B118" s="240" t="str">
        <f>+Model!B582</f>
        <v>Carried Interest / Total Distributions</v>
      </c>
      <c r="C118" s="182" t="str">
        <f>+Model!C582</f>
        <v>% of returns</v>
      </c>
      <c r="D118" s="241">
        <f>+Model!D582</f>
        <v>0.20957613988936974</v>
      </c>
    </row>
    <row r="120" spans="1:6">
      <c r="A120" s="177" t="s">
        <v>10</v>
      </c>
      <c r="B120" s="178" t="s">
        <v>874</v>
      </c>
      <c r="C120" s="178"/>
      <c r="D120" s="179"/>
    </row>
    <row r="121" spans="1:6" outlineLevel="1">
      <c r="B121" s="184" t="s">
        <v>886</v>
      </c>
      <c r="C121" s="182" t="s">
        <v>360</v>
      </c>
      <c r="D121" s="194">
        <v>0.02</v>
      </c>
      <c r="E121" s="194"/>
    </row>
    <row r="122" spans="1:6" outlineLevel="1">
      <c r="B122" s="184" t="s">
        <v>886</v>
      </c>
      <c r="C122" s="182" t="s">
        <v>67</v>
      </c>
      <c r="D122" s="220">
        <f>+D121*D47</f>
        <v>0.95560566219999854</v>
      </c>
      <c r="F122" s="201"/>
    </row>
    <row r="123" spans="1:6" outlineLevel="1">
      <c r="B123" s="184" t="s">
        <v>877</v>
      </c>
      <c r="C123" s="182" t="s">
        <v>875</v>
      </c>
      <c r="D123" s="194">
        <v>0.05</v>
      </c>
      <c r="E123" s="194"/>
      <c r="F123" s="201"/>
    </row>
    <row r="124" spans="1:6" outlineLevel="1">
      <c r="B124" s="184" t="s">
        <v>880</v>
      </c>
      <c r="C124" s="182" t="s">
        <v>67</v>
      </c>
      <c r="D124" s="244">
        <v>0.25</v>
      </c>
      <c r="E124" s="244"/>
    </row>
    <row r="125" spans="1:6" outlineLevel="1">
      <c r="B125" s="184" t="s">
        <v>882</v>
      </c>
      <c r="C125" s="182" t="s">
        <v>67</v>
      </c>
      <c r="D125" s="245">
        <f>-AVERAGE(Model!O56:S56)</f>
        <v>0.45</v>
      </c>
      <c r="E125" s="245"/>
    </row>
    <row r="126" spans="1:6" outlineLevel="1">
      <c r="B126" s="184" t="s">
        <v>881</v>
      </c>
      <c r="C126" s="182" t="s">
        <v>67</v>
      </c>
      <c r="D126" s="235">
        <v>0.5</v>
      </c>
      <c r="E126" s="2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24C2-F676-4376-9229-CF4B65A76E3B}">
  <sheetPr>
    <tabColor theme="8" tint="-0.499984740745262"/>
    <outlinePr summaryBelow="0"/>
    <pageSetUpPr autoPageBreaks="0" fitToPage="1"/>
  </sheetPr>
  <dimension ref="B1:AE77"/>
  <sheetViews>
    <sheetView showGridLines="0" zoomScale="150" zoomScaleNormal="150" workbookViewId="0">
      <selection activeCell="F11" sqref="F11"/>
    </sheetView>
  </sheetViews>
  <sheetFormatPr baseColWidth="10" defaultColWidth="8.6640625" defaultRowHeight="16" outlineLevelRow="1" outlineLevelCol="1"/>
  <cols>
    <col min="1" max="1" width="1.1640625" style="180" customWidth="1"/>
    <col min="2" max="2" width="3.83203125" style="258" bestFit="1" customWidth="1"/>
    <col min="3" max="3" width="18.1640625" style="180" customWidth="1"/>
    <col min="4" max="4" width="10" style="180" customWidth="1"/>
    <col min="5" max="6" width="14.33203125" style="180" customWidth="1"/>
    <col min="7" max="14" width="10" style="180" customWidth="1"/>
    <col min="15" max="15" width="2.83203125" style="180" customWidth="1"/>
    <col min="16" max="25" width="2.5" style="180" hidden="1" customWidth="1" outlineLevel="1"/>
    <col min="26" max="30" width="0" style="180" hidden="1" customWidth="1" outlineLevel="1"/>
    <col min="31" max="31" width="8.6640625" style="180" collapsed="1"/>
    <col min="32" max="16384" width="8.6640625" style="180"/>
  </cols>
  <sheetData>
    <row r="1" spans="2:25" collapsed="1"/>
    <row r="2" spans="2:25" hidden="1" outlineLevel="1">
      <c r="B2" s="259" t="s">
        <v>10</v>
      </c>
      <c r="C2" s="178" t="s">
        <v>219</v>
      </c>
      <c r="D2" s="178"/>
      <c r="E2" s="179"/>
      <c r="F2" s="179"/>
      <c r="G2" s="179"/>
      <c r="H2" s="182"/>
    </row>
    <row r="3" spans="2:25" hidden="1" outlineLevel="1">
      <c r="C3" s="260" t="str">
        <f>+Control!B3</f>
        <v>Live Scenario</v>
      </c>
      <c r="D3" s="261" t="s">
        <v>505</v>
      </c>
      <c r="E3" s="262"/>
      <c r="F3" s="263"/>
      <c r="G3" s="236" t="str">
        <f>+Control!D3</f>
        <v>Inorganic Acquisitions</v>
      </c>
      <c r="H3" s="182"/>
    </row>
    <row r="4" spans="2:25" hidden="1" outlineLevel="1">
      <c r="C4" s="260" t="str">
        <f>+Control!B4</f>
        <v>Avg. EBITDA margin</v>
      </c>
      <c r="E4" s="182" t="str">
        <f>+Control!C4</f>
        <v>%</v>
      </c>
      <c r="F4" s="185">
        <f>+Control!D4</f>
        <v>8.671174765588284E-2</v>
      </c>
      <c r="G4" s="182"/>
    </row>
    <row r="5" spans="2:25" hidden="1" outlineLevel="1">
      <c r="C5" s="260" t="str">
        <f>+Control!B5</f>
        <v>Avg. Net margin</v>
      </c>
      <c r="E5" s="182" t="str">
        <f>+Control!C5</f>
        <v>%</v>
      </c>
      <c r="F5" s="185">
        <f>+Control!D5</f>
        <v>2.7535590762637903E-2</v>
      </c>
      <c r="G5" s="182"/>
    </row>
    <row r="6" spans="2:25" hidden="1" outlineLevel="1">
      <c r="C6" s="260" t="str">
        <f>+Control!B6</f>
        <v>Unlevered IRR</v>
      </c>
      <c r="E6" s="182" t="str">
        <f>+Control!C6</f>
        <v>%</v>
      </c>
      <c r="F6" s="185">
        <f>+Control!D6</f>
        <v>0.27867027094547425</v>
      </c>
      <c r="G6" s="182"/>
    </row>
    <row r="7" spans="2:25" hidden="1" outlineLevel="1">
      <c r="C7" s="260" t="str">
        <f>+Control!B7</f>
        <v>Total Cost of Debt</v>
      </c>
      <c r="E7" s="182" t="str">
        <f>+Control!C7</f>
        <v>%</v>
      </c>
      <c r="F7" s="264">
        <f>+Control!D7</f>
        <v>0.1687335662136471</v>
      </c>
      <c r="G7" s="182"/>
    </row>
    <row r="8" spans="2:25" hidden="1" outlineLevel="1">
      <c r="C8" s="260" t="str">
        <f>+Control!B8</f>
        <v>Debt Term</v>
      </c>
      <c r="E8" s="182" t="str">
        <f>+Control!C8</f>
        <v>Years</v>
      </c>
      <c r="F8" s="265">
        <f>+Control!D8</f>
        <v>10</v>
      </c>
      <c r="G8" s="182"/>
    </row>
    <row r="9" spans="2:25" hidden="1" outlineLevel="1">
      <c r="C9" s="260" t="str">
        <f>+Control!B9</f>
        <v>Levered IRR</v>
      </c>
      <c r="E9" s="182" t="str">
        <f>+Control!C9</f>
        <v>%</v>
      </c>
      <c r="F9" s="190">
        <f>+Control!D9</f>
        <v>0.39345196829848961</v>
      </c>
      <c r="G9" s="182"/>
    </row>
    <row r="10" spans="2:25" hidden="1" outlineLevel="1">
      <c r="C10" s="260" t="str">
        <f>+Control!B12</f>
        <v>Master Check</v>
      </c>
      <c r="E10" s="182" t="str">
        <f>+Control!C12</f>
        <v>Check</v>
      </c>
      <c r="F10" s="266">
        <f>+Control!D12</f>
        <v>0</v>
      </c>
      <c r="G10" s="182"/>
    </row>
    <row r="11" spans="2:25">
      <c r="C11" s="267" t="s">
        <v>914</v>
      </c>
      <c r="D11" s="268"/>
      <c r="E11" s="268"/>
      <c r="G11" s="269"/>
      <c r="H11" s="270"/>
      <c r="I11" s="270"/>
    </row>
    <row r="12" spans="2:25">
      <c r="C12" s="240" t="s">
        <v>0</v>
      </c>
    </row>
    <row r="13" spans="2:25">
      <c r="C13" s="271" t="s">
        <v>9</v>
      </c>
      <c r="E13" s="272">
        <f>+Cover!C11</f>
        <v>45559</v>
      </c>
      <c r="F13" s="266"/>
      <c r="G13" s="182"/>
    </row>
    <row r="15" spans="2:25" s="279" customFormat="1">
      <c r="B15" s="273">
        <v>1</v>
      </c>
      <c r="C15" s="274" t="s">
        <v>564</v>
      </c>
      <c r="D15" s="275"/>
      <c r="E15" s="275"/>
      <c r="F15" s="275"/>
      <c r="G15" s="276" t="s">
        <v>575</v>
      </c>
      <c r="H15" s="277" t="s">
        <v>754</v>
      </c>
      <c r="I15" s="277"/>
      <c r="J15" s="277"/>
      <c r="K15" s="277"/>
      <c r="L15" s="277"/>
      <c r="M15" s="277"/>
      <c r="N15" s="278" t="s">
        <v>575</v>
      </c>
    </row>
    <row r="16" spans="2:25" s="279" customFormat="1">
      <c r="B16" s="273">
        <f>+B15+1</f>
        <v>2</v>
      </c>
      <c r="C16" s="280" t="s">
        <v>574</v>
      </c>
      <c r="D16" s="281">
        <f>+E16-1</f>
        <v>2021</v>
      </c>
      <c r="E16" s="281">
        <v>2022</v>
      </c>
      <c r="F16" s="281">
        <f>+Model!G14</f>
        <v>2023</v>
      </c>
      <c r="G16" s="282" t="s">
        <v>576</v>
      </c>
      <c r="H16" s="281">
        <v>2024</v>
      </c>
      <c r="I16" s="281">
        <f>+H16+1</f>
        <v>2025</v>
      </c>
      <c r="J16" s="281">
        <f>+I16+1</f>
        <v>2026</v>
      </c>
      <c r="K16" s="281">
        <f t="shared" ref="K16:L16" si="0">+J16+1</f>
        <v>2027</v>
      </c>
      <c r="L16" s="281">
        <f t="shared" si="0"/>
        <v>2028</v>
      </c>
      <c r="M16" s="281"/>
      <c r="N16" s="283" t="s">
        <v>737</v>
      </c>
      <c r="Q16" s="284">
        <f>+D16</f>
        <v>2021</v>
      </c>
      <c r="R16" s="284">
        <f>+E16</f>
        <v>2022</v>
      </c>
      <c r="S16" s="284">
        <f>+F16</f>
        <v>2023</v>
      </c>
      <c r="T16" s="285">
        <f t="shared" ref="T16:Y16" si="1">+H16</f>
        <v>2024</v>
      </c>
      <c r="U16" s="285">
        <f t="shared" si="1"/>
        <v>2025</v>
      </c>
      <c r="V16" s="285">
        <f t="shared" si="1"/>
        <v>2026</v>
      </c>
      <c r="W16" s="285">
        <f t="shared" si="1"/>
        <v>2027</v>
      </c>
      <c r="X16" s="285">
        <f t="shared" si="1"/>
        <v>2028</v>
      </c>
      <c r="Y16" s="285">
        <f t="shared" si="1"/>
        <v>0</v>
      </c>
    </row>
    <row r="17" spans="2:25">
      <c r="B17" s="273">
        <f t="shared" ref="B17:B42" si="2">+B16+1</f>
        <v>3</v>
      </c>
      <c r="C17" s="286"/>
      <c r="G17" s="287"/>
      <c r="N17" s="288"/>
      <c r="P17" s="180" t="str">
        <f>+C19</f>
        <v>Base Revenue</v>
      </c>
      <c r="Q17" s="201">
        <f>+D18</f>
        <v>29.874130079999997</v>
      </c>
      <c r="R17" s="201">
        <f>+E18</f>
        <v>39.019757800000008</v>
      </c>
      <c r="S17" s="201">
        <f>+F18</f>
        <v>45.929656189999996</v>
      </c>
      <c r="T17" s="201">
        <f t="shared" ref="T17:Y17" si="3">+H18</f>
        <v>47.307545875699994</v>
      </c>
      <c r="U17" s="201">
        <f t="shared" si="3"/>
        <v>48.726772251970999</v>
      </c>
      <c r="V17" s="201">
        <f t="shared" si="3"/>
        <v>50.188575419530125</v>
      </c>
      <c r="W17" s="201">
        <f t="shared" si="3"/>
        <v>51.694232682116024</v>
      </c>
      <c r="X17" s="201">
        <f t="shared" si="3"/>
        <v>53.245059662579507</v>
      </c>
      <c r="Y17" s="201">
        <f t="shared" si="3"/>
        <v>0</v>
      </c>
    </row>
    <row r="18" spans="2:25">
      <c r="B18" s="273">
        <f t="shared" si="2"/>
        <v>4</v>
      </c>
      <c r="C18" s="289" t="s">
        <v>708</v>
      </c>
      <c r="D18" s="290">
        <f>+Output!E32</f>
        <v>29.874130079999997</v>
      </c>
      <c r="E18" s="290">
        <f>+Output!F32</f>
        <v>39.019757800000008</v>
      </c>
      <c r="F18" s="290">
        <f>+Output!G32</f>
        <v>45.929656189999996</v>
      </c>
      <c r="G18" s="291">
        <f>(F18/D18)^(1/(F$16-D$16))-1</f>
        <v>0.2399351263774554</v>
      </c>
      <c r="H18" s="290">
        <f>+Output!H32-H22</f>
        <v>47.307545875699994</v>
      </c>
      <c r="I18" s="290">
        <f>+Output!I32-I22</f>
        <v>48.726772251970999</v>
      </c>
      <c r="J18" s="290">
        <f>+Output!J32-J22</f>
        <v>50.188575419530125</v>
      </c>
      <c r="K18" s="290">
        <f>+Output!K32-K22</f>
        <v>51.694232682116024</v>
      </c>
      <c r="L18" s="290">
        <f>+Output!L32-L22</f>
        <v>53.245059662579507</v>
      </c>
      <c r="M18" s="290"/>
      <c r="N18" s="291">
        <f>IFERROR((L18/F18)^(1/(L$16-F$16))-1,"n.a.")</f>
        <v>3.0000000000000027E-2</v>
      </c>
      <c r="P18" s="292" t="str">
        <f>+C22</f>
        <v>New Aquired Revenue</v>
      </c>
      <c r="Q18" s="293">
        <f>+D22</f>
        <v>0</v>
      </c>
      <c r="R18" s="293">
        <f>+E22</f>
        <v>0</v>
      </c>
      <c r="S18" s="293">
        <f>+F22</f>
        <v>0</v>
      </c>
      <c r="T18" s="294">
        <f t="shared" ref="T18:Y18" si="4">+H22</f>
        <v>0</v>
      </c>
      <c r="U18" s="294">
        <f t="shared" si="4"/>
        <v>32</v>
      </c>
      <c r="V18" s="294">
        <f t="shared" si="4"/>
        <v>64</v>
      </c>
      <c r="W18" s="294">
        <f t="shared" si="4"/>
        <v>96</v>
      </c>
      <c r="X18" s="294">
        <f t="shared" si="4"/>
        <v>128</v>
      </c>
      <c r="Y18" s="294">
        <f t="shared" si="4"/>
        <v>0</v>
      </c>
    </row>
    <row r="19" spans="2:25" s="213" customFormat="1">
      <c r="B19" s="273">
        <f t="shared" si="2"/>
        <v>5</v>
      </c>
      <c r="C19" s="295" t="s">
        <v>709</v>
      </c>
      <c r="D19" s="219">
        <f>+D18</f>
        <v>29.874130079999997</v>
      </c>
      <c r="E19" s="219">
        <f>+E18</f>
        <v>39.019757800000008</v>
      </c>
      <c r="F19" s="219">
        <f>+F18</f>
        <v>45.929656189999996</v>
      </c>
      <c r="G19" s="296">
        <f>(F19/D19)^(1/(F$16-D$16))-1</f>
        <v>0.2399351263774554</v>
      </c>
      <c r="H19" s="219">
        <f t="shared" ref="H19:L19" si="5">+H18</f>
        <v>47.307545875699994</v>
      </c>
      <c r="I19" s="219">
        <f t="shared" si="5"/>
        <v>48.726772251970999</v>
      </c>
      <c r="J19" s="219">
        <f t="shared" si="5"/>
        <v>50.188575419530125</v>
      </c>
      <c r="K19" s="219">
        <f t="shared" si="5"/>
        <v>51.694232682116024</v>
      </c>
      <c r="L19" s="219">
        <f t="shared" si="5"/>
        <v>53.245059662579507</v>
      </c>
      <c r="M19" s="219"/>
      <c r="N19" s="296">
        <f>IFERROR((L19/F19)^(1/(L$16-F$16))-1,"n.a.")</f>
        <v>3.0000000000000027E-2</v>
      </c>
      <c r="P19" s="213" t="s">
        <v>567</v>
      </c>
      <c r="Q19" s="219">
        <f>+Q17+Q18</f>
        <v>29.874130079999997</v>
      </c>
      <c r="R19" s="219">
        <f t="shared" ref="R19:Y19" si="6">+R17+R18</f>
        <v>39.019757800000008</v>
      </c>
      <c r="S19" s="219">
        <f t="shared" si="6"/>
        <v>45.929656189999996</v>
      </c>
      <c r="T19" s="219">
        <f t="shared" si="6"/>
        <v>47.307545875699994</v>
      </c>
      <c r="U19" s="219">
        <f t="shared" si="6"/>
        <v>80.726772251970999</v>
      </c>
      <c r="V19" s="219">
        <f t="shared" si="6"/>
        <v>114.18857541953012</v>
      </c>
      <c r="W19" s="219">
        <f t="shared" si="6"/>
        <v>147.69423268211602</v>
      </c>
      <c r="X19" s="219">
        <f t="shared" si="6"/>
        <v>181.24505966257951</v>
      </c>
      <c r="Y19" s="219">
        <f t="shared" si="6"/>
        <v>0</v>
      </c>
    </row>
    <row r="20" spans="2:25">
      <c r="B20" s="273">
        <f t="shared" si="2"/>
        <v>6</v>
      </c>
      <c r="C20" s="286" t="s">
        <v>565</v>
      </c>
      <c r="E20" s="186">
        <f>+E19/D19-1</f>
        <v>0.30613871250841163</v>
      </c>
      <c r="F20" s="243">
        <f>+F19/E19-1</f>
        <v>0.17708716761947674</v>
      </c>
      <c r="G20" s="287"/>
      <c r="H20" s="243">
        <f>+H19/F19-1</f>
        <v>3.0000000000000027E-2</v>
      </c>
      <c r="I20" s="243">
        <f>+I19/H19-1</f>
        <v>3.0000000000000027E-2</v>
      </c>
      <c r="J20" s="243">
        <f t="shared" ref="J20:L20" si="7">+J19/I19-1</f>
        <v>2.9999999999999805E-2</v>
      </c>
      <c r="K20" s="243">
        <f t="shared" si="7"/>
        <v>2.9999999999999805E-2</v>
      </c>
      <c r="L20" s="243">
        <f t="shared" si="7"/>
        <v>3.0000000000000027E-2</v>
      </c>
      <c r="M20" s="243"/>
      <c r="N20" s="287"/>
      <c r="P20" s="180" t="s">
        <v>710</v>
      </c>
      <c r="Q20" s="186">
        <f>+R20</f>
        <v>0.2399351263774554</v>
      </c>
      <c r="R20" s="186">
        <f>+S20</f>
        <v>0.2399351263774554</v>
      </c>
      <c r="S20" s="186">
        <f>+G18</f>
        <v>0.2399351263774554</v>
      </c>
      <c r="T20" s="186"/>
      <c r="U20" s="186"/>
      <c r="V20" s="186"/>
      <c r="W20" s="186"/>
      <c r="X20" s="186"/>
      <c r="Y20" s="186"/>
    </row>
    <row r="21" spans="2:25">
      <c r="B21" s="273">
        <f t="shared" si="2"/>
        <v>7</v>
      </c>
      <c r="C21" s="286"/>
      <c r="G21" s="287"/>
      <c r="N21" s="288"/>
      <c r="P21" s="180" t="s">
        <v>711</v>
      </c>
      <c r="Q21" s="186"/>
      <c r="R21" s="186"/>
      <c r="S21" s="186">
        <f>+T21</f>
        <v>0.31593548047713438</v>
      </c>
      <c r="T21" s="186">
        <f>+N23</f>
        <v>0.31593548047713438</v>
      </c>
      <c r="U21" s="186">
        <f t="shared" ref="U21:X21" si="8">+T21</f>
        <v>0.31593548047713438</v>
      </c>
      <c r="V21" s="186">
        <f t="shared" si="8"/>
        <v>0.31593548047713438</v>
      </c>
      <c r="W21" s="186">
        <f t="shared" si="8"/>
        <v>0.31593548047713438</v>
      </c>
      <c r="X21" s="186">
        <f t="shared" si="8"/>
        <v>0.31593548047713438</v>
      </c>
      <c r="Y21" s="186">
        <f>+N23</f>
        <v>0.31593548047713438</v>
      </c>
    </row>
    <row r="22" spans="2:25">
      <c r="B22" s="273">
        <f t="shared" si="2"/>
        <v>8</v>
      </c>
      <c r="C22" s="289" t="s">
        <v>566</v>
      </c>
      <c r="D22" s="297">
        <v>0</v>
      </c>
      <c r="E22" s="290">
        <v>0</v>
      </c>
      <c r="F22" s="297">
        <v>0</v>
      </c>
      <c r="G22" s="298"/>
      <c r="H22" s="290">
        <f>+Model!O163</f>
        <v>0</v>
      </c>
      <c r="I22" s="290">
        <f>+Model!P163</f>
        <v>32</v>
      </c>
      <c r="J22" s="290">
        <f>+Model!Q163</f>
        <v>64</v>
      </c>
      <c r="K22" s="290">
        <f>+Model!R163</f>
        <v>96</v>
      </c>
      <c r="L22" s="290">
        <f>+Model!S163</f>
        <v>128</v>
      </c>
      <c r="M22" s="290"/>
      <c r="N22" s="299" t="str">
        <f t="shared" ref="N22:N23" si="9">IFERROR((L22/F22)^(1/(L$16-F$16))-1,"n.a.")</f>
        <v>n.a.</v>
      </c>
    </row>
    <row r="23" spans="2:25" s="213" customFormat="1">
      <c r="B23" s="273">
        <f t="shared" si="2"/>
        <v>9</v>
      </c>
      <c r="C23" s="300" t="s">
        <v>567</v>
      </c>
      <c r="D23" s="219">
        <f>+D19+D22</f>
        <v>29.874130079999997</v>
      </c>
      <c r="E23" s="219">
        <f t="shared" ref="E23" si="10">+E19+E22</f>
        <v>39.019757800000008</v>
      </c>
      <c r="F23" s="219">
        <f>+F19+F22</f>
        <v>45.929656189999996</v>
      </c>
      <c r="G23" s="296">
        <f>(F23/D23)^(1/(F$16-D$16))-1</f>
        <v>0.2399351263774554</v>
      </c>
      <c r="H23" s="219">
        <f>+H22+H19</f>
        <v>47.307545875699994</v>
      </c>
      <c r="I23" s="219">
        <f t="shared" ref="I23:L23" si="11">+I22+I19</f>
        <v>80.726772251970999</v>
      </c>
      <c r="J23" s="219">
        <f t="shared" si="11"/>
        <v>114.18857541953012</v>
      </c>
      <c r="K23" s="219">
        <f t="shared" si="11"/>
        <v>147.69423268211602</v>
      </c>
      <c r="L23" s="219">
        <f t="shared" si="11"/>
        <v>181.24505966257951</v>
      </c>
      <c r="M23" s="219"/>
      <c r="N23" s="296">
        <f t="shared" si="9"/>
        <v>0.31593548047713438</v>
      </c>
    </row>
    <row r="24" spans="2:25">
      <c r="B24" s="273">
        <f t="shared" si="2"/>
        <v>10</v>
      </c>
      <c r="C24" s="286" t="s">
        <v>565</v>
      </c>
      <c r="D24" s="186"/>
      <c r="E24" s="186">
        <f>+E23/D23-1</f>
        <v>0.30613871250841163</v>
      </c>
      <c r="F24" s="186">
        <f>+F23/E23-1</f>
        <v>0.17708716761947674</v>
      </c>
      <c r="G24" s="287"/>
      <c r="H24" s="186">
        <f>+H23/F23-1</f>
        <v>3.0000000000000027E-2</v>
      </c>
      <c r="I24" s="186">
        <f>+I23/H23-1</f>
        <v>0.70642485797254451</v>
      </c>
      <c r="J24" s="186">
        <f>+J23/I23-1</f>
        <v>0.4145068882862728</v>
      </c>
      <c r="K24" s="186">
        <f>+K23/J23-1</f>
        <v>0.2934239011169526</v>
      </c>
      <c r="L24" s="186">
        <f>+L23/K23-1</f>
        <v>0.22716409687218664</v>
      </c>
      <c r="M24" s="186"/>
      <c r="N24" s="288"/>
    </row>
    <row r="25" spans="2:25">
      <c r="B25" s="273">
        <f t="shared" si="2"/>
        <v>11</v>
      </c>
      <c r="C25" s="286"/>
      <c r="G25" s="287"/>
      <c r="N25" s="288"/>
    </row>
    <row r="26" spans="2:25">
      <c r="B26" s="273">
        <f t="shared" si="2"/>
        <v>12</v>
      </c>
      <c r="C26" s="300" t="s">
        <v>568</v>
      </c>
      <c r="D26" s="219">
        <f>+Model!E178</f>
        <v>3.9705051501110606</v>
      </c>
      <c r="E26" s="219">
        <f>+Model!F178</f>
        <v>3.991112492053368</v>
      </c>
      <c r="F26" s="219">
        <f>+Model!N178</f>
        <v>4.6754198799999926</v>
      </c>
      <c r="G26" s="296">
        <f>(F26/D26)^(1/(F$16-D$16))-1</f>
        <v>8.5144135645790708E-2</v>
      </c>
      <c r="H26" s="219">
        <f>+H30-H29</f>
        <v>3.474405829971019</v>
      </c>
      <c r="I26" s="219">
        <f t="shared" ref="I26:L26" si="12">+I30-I29</f>
        <v>4.3204118369361559</v>
      </c>
      <c r="J26" s="219">
        <f t="shared" si="12"/>
        <v>4.4650241920442326</v>
      </c>
      <c r="K26" s="219">
        <f t="shared" si="12"/>
        <v>4.6139749178055567</v>
      </c>
      <c r="L26" s="219">
        <f t="shared" si="12"/>
        <v>4.7673941653397236</v>
      </c>
      <c r="M26" s="219"/>
      <c r="N26" s="301">
        <f>IFERROR((L26/F26)^(1/(L$16-F$16))-1,"n.a.")</f>
        <v>3.9037772538079718E-3</v>
      </c>
    </row>
    <row r="27" spans="2:25">
      <c r="B27" s="273">
        <f t="shared" si="2"/>
        <v>13</v>
      </c>
      <c r="C27" s="302" t="s">
        <v>569</v>
      </c>
      <c r="D27" s="186">
        <f>+D26/D19</f>
        <v>0.13290780817645356</v>
      </c>
      <c r="E27" s="186">
        <f>+E26/E19</f>
        <v>0.10228439941914164</v>
      </c>
      <c r="F27" s="243">
        <f>+F26/F19</f>
        <v>0.10179522922311675</v>
      </c>
      <c r="G27" s="287"/>
      <c r="H27" s="186">
        <f t="shared" ref="H27:L27" si="13">+H26/H19</f>
        <v>7.3442952189910218E-2</v>
      </c>
      <c r="I27" s="243">
        <f t="shared" si="13"/>
        <v>8.8666078980049717E-2</v>
      </c>
      <c r="J27" s="186">
        <f t="shared" si="13"/>
        <v>8.8964951778781429E-2</v>
      </c>
      <c r="K27" s="186">
        <f t="shared" si="13"/>
        <v>8.9255119544540476E-2</v>
      </c>
      <c r="L27" s="186">
        <f t="shared" si="13"/>
        <v>8.9536835821976482E-2</v>
      </c>
      <c r="M27" s="186"/>
      <c r="N27" s="303"/>
    </row>
    <row r="28" spans="2:25">
      <c r="B28" s="273">
        <f t="shared" si="2"/>
        <v>14</v>
      </c>
      <c r="C28" s="286"/>
      <c r="G28" s="287"/>
      <c r="N28" s="288"/>
    </row>
    <row r="29" spans="2:25">
      <c r="B29" s="273">
        <f t="shared" si="2"/>
        <v>15</v>
      </c>
      <c r="C29" s="289" t="s">
        <v>570</v>
      </c>
      <c r="D29" s="297">
        <v>0</v>
      </c>
      <c r="E29" s="297">
        <v>0</v>
      </c>
      <c r="F29" s="297">
        <v>0</v>
      </c>
      <c r="G29" s="298"/>
      <c r="H29" s="290">
        <f>+'Value Creation Plan'!J114</f>
        <v>0</v>
      </c>
      <c r="I29" s="290">
        <f>+'Value Creation Plan'!K114</f>
        <v>2.8034889222529209</v>
      </c>
      <c r="J29" s="290">
        <f>+'Value Creation Plan'!L114</f>
        <v>5.6069778445058418</v>
      </c>
      <c r="K29" s="290">
        <f>+'Value Creation Plan'!M114</f>
        <v>8.4104667667587663</v>
      </c>
      <c r="L29" s="290">
        <f>+'Value Creation Plan'!N114</f>
        <v>11.213955689011684</v>
      </c>
      <c r="M29" s="290"/>
      <c r="N29" s="299" t="str">
        <f>IFERROR((L29/F29)^(1/(L$16-F$16))-1,"n.a.")</f>
        <v>n.a.</v>
      </c>
    </row>
    <row r="30" spans="2:25">
      <c r="B30" s="273">
        <f t="shared" si="2"/>
        <v>16</v>
      </c>
      <c r="C30" s="300" t="s">
        <v>577</v>
      </c>
      <c r="D30" s="219">
        <f>+D29+D26</f>
        <v>3.9705051501110606</v>
      </c>
      <c r="E30" s="219">
        <f t="shared" ref="E30:F30" si="14">+E29+E26</f>
        <v>3.991112492053368</v>
      </c>
      <c r="F30" s="219">
        <f t="shared" si="14"/>
        <v>4.6754198799999926</v>
      </c>
      <c r="G30" s="296">
        <f>(F30/D30)^(1/(F$16-D$16))-1</f>
        <v>8.5144135645790708E-2</v>
      </c>
      <c r="H30" s="219">
        <f>+H48</f>
        <v>3.474405829971019</v>
      </c>
      <c r="I30" s="219">
        <f t="shared" ref="I30:L30" si="15">+I48</f>
        <v>7.1239007591890768</v>
      </c>
      <c r="J30" s="219">
        <f t="shared" si="15"/>
        <v>10.072002036550074</v>
      </c>
      <c r="K30" s="219">
        <f t="shared" si="15"/>
        <v>13.024441684564323</v>
      </c>
      <c r="L30" s="219">
        <f t="shared" si="15"/>
        <v>15.981349854351407</v>
      </c>
      <c r="M30" s="219"/>
      <c r="N30" s="296">
        <f>IFERROR((L30/F30)^(1/(L$16-F$16))-1,"n.a.")</f>
        <v>0.27867027094669905</v>
      </c>
      <c r="Q30" s="304">
        <f t="shared" ref="Q30:Y30" si="16">+Q16</f>
        <v>2021</v>
      </c>
      <c r="R30" s="304">
        <f t="shared" si="16"/>
        <v>2022</v>
      </c>
      <c r="S30" s="304">
        <f t="shared" si="16"/>
        <v>2023</v>
      </c>
      <c r="T30" s="285">
        <f t="shared" si="16"/>
        <v>2024</v>
      </c>
      <c r="U30" s="285">
        <f t="shared" si="16"/>
        <v>2025</v>
      </c>
      <c r="V30" s="285">
        <f t="shared" si="16"/>
        <v>2026</v>
      </c>
      <c r="W30" s="285">
        <f t="shared" si="16"/>
        <v>2027</v>
      </c>
      <c r="X30" s="285">
        <f t="shared" si="16"/>
        <v>2028</v>
      </c>
      <c r="Y30" s="285">
        <f t="shared" si="16"/>
        <v>0</v>
      </c>
    </row>
    <row r="31" spans="2:25">
      <c r="B31" s="273">
        <f t="shared" si="2"/>
        <v>17</v>
      </c>
      <c r="C31" s="286"/>
      <c r="G31" s="287"/>
      <c r="N31" s="288"/>
      <c r="P31" s="180" t="str">
        <f>+C26</f>
        <v>Base Adjusted EBITDA</v>
      </c>
      <c r="Q31" s="201">
        <f t="shared" ref="Q31:S31" si="17">+D26</f>
        <v>3.9705051501110606</v>
      </c>
      <c r="R31" s="201">
        <f t="shared" si="17"/>
        <v>3.991112492053368</v>
      </c>
      <c r="S31" s="201">
        <f t="shared" si="17"/>
        <v>4.6754198799999926</v>
      </c>
      <c r="T31" s="201">
        <f>+H26</f>
        <v>3.474405829971019</v>
      </c>
      <c r="U31" s="201">
        <f t="shared" ref="U31:Y31" si="18">+I26</f>
        <v>4.3204118369361559</v>
      </c>
      <c r="V31" s="201">
        <f t="shared" si="18"/>
        <v>4.4650241920442326</v>
      </c>
      <c r="W31" s="201">
        <f t="shared" si="18"/>
        <v>4.6139749178055567</v>
      </c>
      <c r="X31" s="201">
        <f t="shared" si="18"/>
        <v>4.7673941653397236</v>
      </c>
      <c r="Y31" s="201">
        <f t="shared" si="18"/>
        <v>0</v>
      </c>
    </row>
    <row r="32" spans="2:25">
      <c r="B32" s="273">
        <f t="shared" si="2"/>
        <v>18</v>
      </c>
      <c r="C32" s="305" t="s">
        <v>571</v>
      </c>
      <c r="D32" s="220">
        <f>-'Historic FS'!E65/10^6</f>
        <v>0.6438931699999999</v>
      </c>
      <c r="E32" s="220">
        <f>-'Historic FS'!F65/10^6</f>
        <v>-0.93339733000000036</v>
      </c>
      <c r="F32" s="220">
        <f>-'Historic FS'!G65/10^6</f>
        <v>0.5239970500000003</v>
      </c>
      <c r="G32" s="301">
        <f>(F32/D32)^(1/(F$16-D$16))-1</f>
        <v>-9.7894123736390837E-2</v>
      </c>
      <c r="H32" s="201">
        <f>-(+Model!O242-Model!O166)</f>
        <v>0.47307545875699997</v>
      </c>
      <c r="I32" s="201">
        <f>-(+Model!P242-Model!P166)</f>
        <v>0.80726772251970935</v>
      </c>
      <c r="J32" s="201">
        <f>-(+Model!Q242-Model!Q166)</f>
        <v>1.141885754195302</v>
      </c>
      <c r="K32" s="201">
        <f>-(+Model!R242-Model!R166)</f>
        <v>1.4769423268211597</v>
      </c>
      <c r="L32" s="201">
        <f>-(+Model!S242-Model!S166)</f>
        <v>1.8124505966257942</v>
      </c>
      <c r="M32" s="201"/>
      <c r="N32" s="306">
        <f>IFERROR((L32/F32)^(1/(L$16-F$16))-1,"n.a.")</f>
        <v>0.28170319554378009</v>
      </c>
      <c r="P32" s="180" t="str">
        <f>+C29</f>
        <v>New Aquired EBITDA</v>
      </c>
      <c r="Q32" s="201">
        <f t="shared" ref="Q32:S32" si="19">+D29</f>
        <v>0</v>
      </c>
      <c r="R32" s="201">
        <f t="shared" si="19"/>
        <v>0</v>
      </c>
      <c r="S32" s="201">
        <f t="shared" si="19"/>
        <v>0</v>
      </c>
      <c r="T32" s="201">
        <f>+H29</f>
        <v>0</v>
      </c>
      <c r="U32" s="201">
        <f t="shared" ref="U32:Y32" si="20">+I29</f>
        <v>2.8034889222529209</v>
      </c>
      <c r="V32" s="201">
        <f t="shared" si="20"/>
        <v>5.6069778445058418</v>
      </c>
      <c r="W32" s="201">
        <f t="shared" si="20"/>
        <v>8.4104667667587663</v>
      </c>
      <c r="X32" s="201">
        <f t="shared" si="20"/>
        <v>11.213955689011684</v>
      </c>
      <c r="Y32" s="201">
        <f t="shared" si="20"/>
        <v>0</v>
      </c>
    </row>
    <row r="33" spans="2:25">
      <c r="B33" s="273">
        <f t="shared" si="2"/>
        <v>19</v>
      </c>
      <c r="C33" s="302" t="s">
        <v>572</v>
      </c>
      <c r="D33" s="243">
        <f>+D32/D19</f>
        <v>2.1553537066208019E-2</v>
      </c>
      <c r="E33" s="243">
        <f>+E32/E19</f>
        <v>-2.392114617379814E-2</v>
      </c>
      <c r="F33" s="243">
        <f>+F32/F19</f>
        <v>1.1408686532125342E-2</v>
      </c>
      <c r="G33" s="287"/>
      <c r="H33" s="243">
        <f>+H32/H23</f>
        <v>0.01</v>
      </c>
      <c r="I33" s="243">
        <f t="shared" ref="I33:L33" si="21">+I32/I23</f>
        <v>9.9999999999999915E-3</v>
      </c>
      <c r="J33" s="243">
        <f t="shared" si="21"/>
        <v>1.0000000000000007E-2</v>
      </c>
      <c r="K33" s="243">
        <f t="shared" si="21"/>
        <v>9.9999999999999967E-3</v>
      </c>
      <c r="L33" s="243">
        <f t="shared" si="21"/>
        <v>9.999999999999995E-3</v>
      </c>
      <c r="M33" s="243"/>
      <c r="N33" s="288"/>
      <c r="P33" s="180" t="str">
        <f>+C30</f>
        <v>Total EBITDA</v>
      </c>
      <c r="Q33" s="201">
        <f t="shared" ref="Q33:S33" si="22">+D30</f>
        <v>3.9705051501110606</v>
      </c>
      <c r="R33" s="201">
        <f t="shared" si="22"/>
        <v>3.991112492053368</v>
      </c>
      <c r="S33" s="201">
        <f t="shared" si="22"/>
        <v>4.6754198799999926</v>
      </c>
      <c r="T33" s="201">
        <f>+H30</f>
        <v>3.474405829971019</v>
      </c>
      <c r="U33" s="201">
        <f t="shared" ref="U33:Y33" si="23">+I30</f>
        <v>7.1239007591890768</v>
      </c>
      <c r="V33" s="201">
        <f t="shared" si="23"/>
        <v>10.072002036550074</v>
      </c>
      <c r="W33" s="201">
        <f t="shared" si="23"/>
        <v>13.024441684564323</v>
      </c>
      <c r="X33" s="201">
        <f t="shared" si="23"/>
        <v>15.981349854351407</v>
      </c>
      <c r="Y33" s="201">
        <f t="shared" si="23"/>
        <v>0</v>
      </c>
    </row>
    <row r="34" spans="2:25">
      <c r="B34" s="273">
        <f t="shared" si="2"/>
        <v>20</v>
      </c>
      <c r="C34" s="307"/>
      <c r="G34" s="287"/>
      <c r="N34" s="288"/>
      <c r="P34" s="180" t="str">
        <f>+P20</f>
        <v>Historic CAGR</v>
      </c>
      <c r="Q34" s="186">
        <f>+G30</f>
        <v>8.5144135645790708E-2</v>
      </c>
      <c r="R34" s="186">
        <f>+Q34</f>
        <v>8.5144135645790708E-2</v>
      </c>
      <c r="S34" s="186">
        <f>+R34</f>
        <v>8.5144135645790708E-2</v>
      </c>
    </row>
    <row r="35" spans="2:25" s="213" customFormat="1">
      <c r="B35" s="273">
        <f t="shared" si="2"/>
        <v>21</v>
      </c>
      <c r="C35" s="308" t="s">
        <v>573</v>
      </c>
      <c r="D35" s="219">
        <f>+D32</f>
        <v>0.6438931699999999</v>
      </c>
      <c r="E35" s="219">
        <f>+E32</f>
        <v>-0.93339733000000036</v>
      </c>
      <c r="F35" s="219">
        <f>+F32</f>
        <v>0.5239970500000003</v>
      </c>
      <c r="G35" s="309"/>
      <c r="H35" s="219">
        <f t="shared" ref="H35:L35" si="24">+H32</f>
        <v>0.47307545875699997</v>
      </c>
      <c r="I35" s="219">
        <f t="shared" si="24"/>
        <v>0.80726772251970935</v>
      </c>
      <c r="J35" s="219">
        <f t="shared" si="24"/>
        <v>1.141885754195302</v>
      </c>
      <c r="K35" s="219">
        <f t="shared" si="24"/>
        <v>1.4769423268211597</v>
      </c>
      <c r="L35" s="219">
        <f t="shared" si="24"/>
        <v>1.8124505966257942</v>
      </c>
      <c r="M35" s="219"/>
      <c r="N35" s="303">
        <f>IFERROR((L35/F35)^(1/(L$16-F$16))-1,"n.a.")</f>
        <v>0.28170319554378009</v>
      </c>
      <c r="P35" s="180" t="str">
        <f>+P21</f>
        <v>Projected CAGR</v>
      </c>
      <c r="S35" s="226">
        <f>+$N$30</f>
        <v>0.27867027094669905</v>
      </c>
      <c r="T35" s="226">
        <f t="shared" ref="T35:X35" si="25">+$N$30</f>
        <v>0.27867027094669905</v>
      </c>
      <c r="U35" s="226">
        <f t="shared" si="25"/>
        <v>0.27867027094669905</v>
      </c>
      <c r="V35" s="226">
        <f t="shared" si="25"/>
        <v>0.27867027094669905</v>
      </c>
      <c r="W35" s="226">
        <f t="shared" si="25"/>
        <v>0.27867027094669905</v>
      </c>
      <c r="X35" s="226">
        <f t="shared" si="25"/>
        <v>0.27867027094669905</v>
      </c>
    </row>
    <row r="36" spans="2:25">
      <c r="B36" s="273">
        <f t="shared" si="2"/>
        <v>22</v>
      </c>
      <c r="C36" s="310" t="s">
        <v>572</v>
      </c>
      <c r="D36" s="243">
        <f>+D35/D19</f>
        <v>2.1553537066208019E-2</v>
      </c>
      <c r="E36" s="243">
        <f>+E35/E19</f>
        <v>-2.392114617379814E-2</v>
      </c>
      <c r="F36" s="243">
        <f>+F35/F19</f>
        <v>1.1408686532125342E-2</v>
      </c>
      <c r="G36" s="311"/>
      <c r="H36" s="243">
        <f t="shared" ref="H36:L36" si="26">+H35/H19</f>
        <v>0.01</v>
      </c>
      <c r="I36" s="243">
        <f t="shared" si="26"/>
        <v>1.6567231630801389E-2</v>
      </c>
      <c r="J36" s="243">
        <f t="shared" si="26"/>
        <v>2.2751906079226041E-2</v>
      </c>
      <c r="K36" s="243">
        <f t="shared" si="26"/>
        <v>2.8570737008581579E-2</v>
      </c>
      <c r="L36" s="243">
        <f t="shared" si="26"/>
        <v>3.4039789007872592E-2</v>
      </c>
      <c r="M36" s="243"/>
      <c r="N36" s="288"/>
    </row>
    <row r="37" spans="2:25">
      <c r="B37" s="273">
        <f t="shared" si="2"/>
        <v>23</v>
      </c>
      <c r="C37" s="310"/>
      <c r="D37" s="243"/>
      <c r="E37" s="243"/>
      <c r="F37" s="243"/>
      <c r="G37" s="311"/>
      <c r="H37" s="243"/>
      <c r="I37" s="243"/>
      <c r="J37" s="243"/>
      <c r="K37" s="243"/>
      <c r="L37" s="243"/>
      <c r="M37" s="243"/>
      <c r="N37" s="288"/>
    </row>
    <row r="38" spans="2:25" s="213" customFormat="1">
      <c r="B38" s="273">
        <f t="shared" si="2"/>
        <v>24</v>
      </c>
      <c r="C38" s="312" t="s">
        <v>581</v>
      </c>
      <c r="D38" s="313"/>
      <c r="E38" s="313"/>
      <c r="F38" s="313"/>
      <c r="G38" s="314"/>
      <c r="H38" s="315">
        <f>-Model!O166</f>
        <v>0</v>
      </c>
      <c r="I38" s="315">
        <f>-Model!P166</f>
        <v>13.012211227885224</v>
      </c>
      <c r="J38" s="315">
        <f>-Model!Q166</f>
        <v>13.012211227885224</v>
      </c>
      <c r="K38" s="315">
        <f>-Model!R166</f>
        <v>13.012211227885224</v>
      </c>
      <c r="L38" s="315">
        <f>-Model!S166</f>
        <v>13.012211227885224</v>
      </c>
      <c r="M38" s="315"/>
      <c r="N38" s="316"/>
    </row>
    <row r="39" spans="2:25">
      <c r="B39" s="273">
        <f t="shared" si="2"/>
        <v>25</v>
      </c>
      <c r="C39" s="307"/>
      <c r="D39" s="219"/>
      <c r="E39" s="219"/>
      <c r="F39" s="219"/>
      <c r="G39" s="311"/>
      <c r="H39" s="219"/>
      <c r="I39" s="219"/>
      <c r="J39" s="219"/>
      <c r="K39" s="219"/>
      <c r="L39" s="219"/>
      <c r="M39" s="219"/>
      <c r="N39" s="288"/>
    </row>
    <row r="40" spans="2:25">
      <c r="B40" s="273">
        <f t="shared" si="2"/>
        <v>26</v>
      </c>
      <c r="C40" s="308" t="s">
        <v>579</v>
      </c>
      <c r="D40" s="219"/>
      <c r="E40" s="219"/>
      <c r="F40" s="219"/>
      <c r="G40" s="311"/>
      <c r="H40" s="219">
        <f>+H52+H38-H49</f>
        <v>3.0013303712140189</v>
      </c>
      <c r="I40" s="219">
        <f>+I52+I38-I49</f>
        <v>6.1398307268890298</v>
      </c>
      <c r="J40" s="219">
        <f t="shared" ref="J40:L40" si="27">+J52+J38-J49</f>
        <v>7.9828073405043742</v>
      </c>
      <c r="K40" s="219">
        <f t="shared" si="27"/>
        <v>9.9227677681730899</v>
      </c>
      <c r="L40" s="219">
        <f t="shared" si="27"/>
        <v>11.897090016889742</v>
      </c>
      <c r="M40" s="219"/>
      <c r="N40" s="317" t="str">
        <f>IFERROR((L40/F40)^(1/(L$16-F$16))-1,"n.a.")</f>
        <v>n.a.</v>
      </c>
    </row>
    <row r="41" spans="2:25">
      <c r="B41" s="273">
        <f t="shared" si="2"/>
        <v>27</v>
      </c>
      <c r="C41" s="310" t="s">
        <v>569</v>
      </c>
      <c r="D41" s="219"/>
      <c r="E41" s="219"/>
      <c r="F41" s="219"/>
      <c r="G41" s="311"/>
      <c r="H41" s="243">
        <f t="shared" ref="H41:L41" si="28">+H40/H19</f>
        <v>6.3442952189910209E-2</v>
      </c>
      <c r="I41" s="243">
        <f t="shared" si="28"/>
        <v>0.12600528299184999</v>
      </c>
      <c r="J41" s="243">
        <f t="shared" si="28"/>
        <v>0.15905626477291854</v>
      </c>
      <c r="K41" s="243">
        <f t="shared" si="28"/>
        <v>0.19195115689580475</v>
      </c>
      <c r="L41" s="243">
        <f t="shared" si="28"/>
        <v>0.22344026079195073</v>
      </c>
      <c r="M41" s="243"/>
      <c r="N41" s="288"/>
    </row>
    <row r="42" spans="2:25">
      <c r="B42" s="273">
        <f t="shared" si="2"/>
        <v>28</v>
      </c>
      <c r="C42" s="318" t="s">
        <v>580</v>
      </c>
      <c r="D42" s="319"/>
      <c r="E42" s="319"/>
      <c r="F42" s="319"/>
      <c r="G42" s="320"/>
      <c r="H42" s="321">
        <f t="shared" ref="H42:L42" si="29">+H40/H30</f>
        <v>0.86383989611226675</v>
      </c>
      <c r="I42" s="321">
        <f t="shared" si="29"/>
        <v>0.86186359614419095</v>
      </c>
      <c r="J42" s="321">
        <f t="shared" si="29"/>
        <v>0.79257403955397687</v>
      </c>
      <c r="K42" s="321">
        <f t="shared" si="29"/>
        <v>0.76185743761537783</v>
      </c>
      <c r="L42" s="321">
        <f t="shared" si="29"/>
        <v>0.74443586588841226</v>
      </c>
      <c r="M42" s="321"/>
      <c r="N42" s="320"/>
    </row>
    <row r="43" spans="2:25" collapsed="1">
      <c r="B43" s="273"/>
    </row>
    <row r="44" spans="2:25" hidden="1" outlineLevel="1">
      <c r="B44" s="273"/>
      <c r="C44" s="322" t="s">
        <v>578</v>
      </c>
      <c r="D44" s="322"/>
      <c r="E44" s="322"/>
      <c r="F44" s="322"/>
      <c r="G44" s="213"/>
      <c r="H44" s="213">
        <v>2024</v>
      </c>
      <c r="I44" s="213">
        <f>+H44+1</f>
        <v>2025</v>
      </c>
      <c r="J44" s="213">
        <f t="shared" ref="J44:L44" si="30">+I44+1</f>
        <v>2026</v>
      </c>
      <c r="K44" s="213">
        <f t="shared" si="30"/>
        <v>2027</v>
      </c>
      <c r="L44" s="213">
        <f t="shared" si="30"/>
        <v>2028</v>
      </c>
      <c r="M44" s="213"/>
    </row>
    <row r="45" spans="2:25" hidden="1" outlineLevel="1">
      <c r="B45" s="273"/>
      <c r="C45" s="269" t="str">
        <f>+Output!C92</f>
        <v>Revenue</v>
      </c>
      <c r="D45" s="213"/>
      <c r="E45" s="213"/>
      <c r="F45" s="213"/>
      <c r="G45" s="323"/>
      <c r="H45" s="323">
        <f>+Output!E92</f>
        <v>47.307545875699994</v>
      </c>
      <c r="I45" s="323">
        <f>+Output!F92</f>
        <v>80.726772251970999</v>
      </c>
      <c r="J45" s="323">
        <f>+Output!G92</f>
        <v>114.18857541953012</v>
      </c>
      <c r="K45" s="323">
        <f>+Output!H92</f>
        <v>147.69423268211602</v>
      </c>
      <c r="L45" s="323">
        <f>+Output!I92</f>
        <v>181.24505966257951</v>
      </c>
      <c r="M45" s="323"/>
      <c r="N45" s="324">
        <f>+SUM(H45:M45)-SUM(H23:M23)</f>
        <v>0</v>
      </c>
    </row>
    <row r="46" spans="2:25" hidden="1" outlineLevel="1">
      <c r="B46" s="273"/>
      <c r="C46" s="184" t="str">
        <f>+Output!C93</f>
        <v>Costs</v>
      </c>
      <c r="G46" s="214"/>
      <c r="H46" s="214">
        <f>+Output!E93</f>
        <v>-17.025558629328973</v>
      </c>
      <c r="I46" s="214">
        <f>+Output!F93</f>
        <v>-29.05283646595592</v>
      </c>
      <c r="J46" s="214">
        <f>+Output!G93</f>
        <v>-41.095437305349265</v>
      </c>
      <c r="K46" s="214">
        <f>+Output!H93</f>
        <v>-53.153820837591994</v>
      </c>
      <c r="L46" s="214">
        <f>+Output!I93</f>
        <v>-65.228460543469595</v>
      </c>
      <c r="M46" s="214"/>
    </row>
    <row r="47" spans="2:25" hidden="1" outlineLevel="1">
      <c r="B47" s="273"/>
      <c r="C47" s="216" t="str">
        <f>+Output!C94</f>
        <v>SG&amp;A</v>
      </c>
      <c r="D47" s="292"/>
      <c r="E47" s="292"/>
      <c r="F47" s="292"/>
      <c r="G47" s="325"/>
      <c r="H47" s="325">
        <f>+Output!E94</f>
        <v>-26.807581416400001</v>
      </c>
      <c r="I47" s="325">
        <f>+Output!F94</f>
        <v>-44.550035026826002</v>
      </c>
      <c r="J47" s="325">
        <f>+Output!G94</f>
        <v>-63.021136077630786</v>
      </c>
      <c r="K47" s="325">
        <f>+Output!H94</f>
        <v>-81.515970159959707</v>
      </c>
      <c r="L47" s="325">
        <f>+Output!I94</f>
        <v>-100.03524926475851</v>
      </c>
      <c r="M47" s="325"/>
    </row>
    <row r="48" spans="2:25" hidden="1" outlineLevel="1">
      <c r="B48" s="273"/>
      <c r="C48" s="269" t="str">
        <f>+Output!C95</f>
        <v>EBITDA</v>
      </c>
      <c r="D48" s="213"/>
      <c r="E48" s="213"/>
      <c r="F48" s="213"/>
      <c r="G48" s="266"/>
      <c r="H48" s="266">
        <f>+Output!E95</f>
        <v>3.474405829971019</v>
      </c>
      <c r="I48" s="266">
        <f>+Output!F95</f>
        <v>7.1239007591890768</v>
      </c>
      <c r="J48" s="266">
        <f>+Output!G95</f>
        <v>10.072002036550074</v>
      </c>
      <c r="K48" s="266">
        <f>+Output!H95</f>
        <v>13.024441684564323</v>
      </c>
      <c r="L48" s="266">
        <f>+Output!I95</f>
        <v>15.981349854351407</v>
      </c>
      <c r="M48" s="266"/>
      <c r="N48" s="238">
        <f>+SUM(H48:M48)-SUM(H30:M30)</f>
        <v>0</v>
      </c>
    </row>
    <row r="49" spans="2:14" hidden="1" outlineLevel="1">
      <c r="B49" s="273"/>
      <c r="C49" s="184" t="str">
        <f>+Output!C96</f>
        <v>Investment in working capital</v>
      </c>
      <c r="G49" s="214"/>
      <c r="H49" s="214">
        <f>+Output!E96</f>
        <v>0.64929462992868014</v>
      </c>
      <c r="I49" s="214">
        <f>+Output!F96</f>
        <v>1.3520489519776371</v>
      </c>
      <c r="J49" s="214">
        <f>+Output!G96</f>
        <v>1.3878947866709193</v>
      </c>
      <c r="K49" s="214">
        <f>+Output!H96</f>
        <v>1.3896907813490031</v>
      </c>
      <c r="L49" s="214">
        <f>+Output!I96</f>
        <v>1.3915406558674261</v>
      </c>
      <c r="M49" s="214"/>
    </row>
    <row r="50" spans="2:14" hidden="1" outlineLevel="1">
      <c r="B50" s="273"/>
      <c r="C50" s="184" t="str">
        <f>+Output!C97</f>
        <v>Operational taxes</v>
      </c>
      <c r="G50" s="214"/>
      <c r="H50" s="214">
        <f>+Output!E97</f>
        <v>0</v>
      </c>
      <c r="I50" s="214">
        <f>+Output!F97</f>
        <v>-0.17680230978033701</v>
      </c>
      <c r="J50" s="214">
        <f>+Output!G97</f>
        <v>-0.94730894185039816</v>
      </c>
      <c r="K50" s="214">
        <f>+Output!H97</f>
        <v>-1.624731589570074</v>
      </c>
      <c r="L50" s="214">
        <f>+Output!I97</f>
        <v>-2.2718092408358714</v>
      </c>
      <c r="M50" s="214"/>
    </row>
    <row r="51" spans="2:14" hidden="1" outlineLevel="1">
      <c r="B51" s="273"/>
      <c r="C51" s="216" t="str">
        <f>+Output!C98</f>
        <v>CAPEX</v>
      </c>
      <c r="D51" s="292"/>
      <c r="E51" s="292"/>
      <c r="F51" s="292"/>
      <c r="G51" s="325"/>
      <c r="H51" s="325">
        <f>+Output!E98</f>
        <v>-0.47307545875699997</v>
      </c>
      <c r="I51" s="325">
        <f>+Output!F98</f>
        <v>-13.819478950404934</v>
      </c>
      <c r="J51" s="325">
        <f>+Output!G98</f>
        <v>-14.154096982080526</v>
      </c>
      <c r="K51" s="325">
        <f>+Output!H98</f>
        <v>-14.489153554706384</v>
      </c>
      <c r="L51" s="325">
        <f>+Output!I98</f>
        <v>-14.824661824511018</v>
      </c>
      <c r="M51" s="325"/>
    </row>
    <row r="52" spans="2:14" s="213" customFormat="1" hidden="1" outlineLevel="1">
      <c r="B52" s="273"/>
      <c r="C52" s="269" t="str">
        <f>+Output!C99</f>
        <v>Operating free cash flow</v>
      </c>
      <c r="G52" s="266"/>
      <c r="H52" s="266">
        <f>+Output!E99</f>
        <v>3.6506250011426991</v>
      </c>
      <c r="I52" s="266">
        <f>+Output!F99</f>
        <v>-5.5203315490185574</v>
      </c>
      <c r="J52" s="266">
        <f>+Output!G99</f>
        <v>-3.6415091007099303</v>
      </c>
      <c r="K52" s="266">
        <f>+Output!H99</f>
        <v>-1.6997526783631312</v>
      </c>
      <c r="L52" s="266">
        <f>+Output!I99</f>
        <v>0.27641944487194436</v>
      </c>
      <c r="M52" s="266"/>
    </row>
    <row r="53" spans="2:14" s="213" customFormat="1" hidden="1" outlineLevel="1">
      <c r="B53" s="273"/>
      <c r="C53" s="269"/>
      <c r="H53" s="266"/>
      <c r="I53" s="266"/>
      <c r="J53" s="266"/>
      <c r="K53" s="266"/>
      <c r="L53" s="266"/>
      <c r="M53" s="266"/>
    </row>
    <row r="54" spans="2:14">
      <c r="B54" s="273">
        <f t="shared" ref="B54:B65" si="31">+B53+1</f>
        <v>1</v>
      </c>
      <c r="C54" s="326" t="s">
        <v>582</v>
      </c>
      <c r="D54" s="327"/>
      <c r="E54" s="327"/>
      <c r="F54" s="328" t="s">
        <v>583</v>
      </c>
      <c r="G54" s="327"/>
      <c r="H54" s="329">
        <f>+H16</f>
        <v>2024</v>
      </c>
      <c r="I54" s="329">
        <f t="shared" ref="I54:L54" si="32">+I16</f>
        <v>2025</v>
      </c>
      <c r="J54" s="329">
        <f t="shared" si="32"/>
        <v>2026</v>
      </c>
      <c r="K54" s="329">
        <f t="shared" si="32"/>
        <v>2027</v>
      </c>
      <c r="L54" s="329">
        <f t="shared" si="32"/>
        <v>2028</v>
      </c>
      <c r="M54" s="329"/>
      <c r="N54" s="330"/>
    </row>
    <row r="55" spans="2:14">
      <c r="B55" s="273">
        <f t="shared" si="31"/>
        <v>2</v>
      </c>
      <c r="C55" s="331" t="s">
        <v>111</v>
      </c>
      <c r="F55" s="206">
        <f>+Control!D43</f>
        <v>10</v>
      </c>
      <c r="H55" s="206">
        <f>+Control!$D$44/'Exec. Summary'!H30</f>
        <v>13.456746588636111</v>
      </c>
      <c r="I55" s="206">
        <f>+Control!$D$44/'Exec. Summary'!I30</f>
        <v>6.5630053506419168</v>
      </c>
      <c r="J55" s="206">
        <f>+Control!$D$44/'Exec. Summary'!J30</f>
        <v>4.6419965594064223</v>
      </c>
      <c r="K55" s="206">
        <f>+Control!$D$44/'Exec. Summary'!K30</f>
        <v>3.5897276775717613</v>
      </c>
      <c r="L55" s="206">
        <f>+Control!$D$44/'Exec. Summary'!L30</f>
        <v>2.9255475429861564</v>
      </c>
      <c r="M55" s="206"/>
      <c r="N55" s="332"/>
    </row>
    <row r="56" spans="2:14">
      <c r="B56" s="273">
        <f t="shared" si="31"/>
        <v>3</v>
      </c>
      <c r="C56" s="331" t="s">
        <v>584</v>
      </c>
      <c r="F56" s="206">
        <f>Control!D44/(Control!D42-'Exec. Summary'!F32)</f>
        <v>11.262210744261868</v>
      </c>
      <c r="H56" s="206">
        <f>+Control!$D$44/('Exec. Summary'!H30-H32)</f>
        <v>15.57782483675336</v>
      </c>
      <c r="I56" s="206">
        <f>+Control!$D$44/('Exec. Summary'!I30-I32)</f>
        <v>7.4017595336917763</v>
      </c>
      <c r="J56" s="206">
        <f>+Control!$D$44/('Exec. Summary'!J30-J32)</f>
        <v>5.235564389277064</v>
      </c>
      <c r="K56" s="206">
        <f>+Control!$D$44/('Exec. Summary'!K30-K32)</f>
        <v>4.0488591816763293</v>
      </c>
      <c r="L56" s="206">
        <f>+Control!$D$44/('Exec. Summary'!L30-L32)</f>
        <v>3.2997763587391682</v>
      </c>
      <c r="M56" s="206"/>
      <c r="N56" s="332"/>
    </row>
    <row r="57" spans="2:14">
      <c r="B57" s="273">
        <f t="shared" si="31"/>
        <v>4</v>
      </c>
      <c r="C57" s="331" t="s">
        <v>401</v>
      </c>
      <c r="F57" s="206">
        <f>+Control!D50</f>
        <v>2.8571428571428568</v>
      </c>
      <c r="H57" s="206">
        <f>+Output!H78</f>
        <v>6.1473367129549885</v>
      </c>
      <c r="I57" s="206">
        <f>+Output!I78</f>
        <v>2.9981246561774029</v>
      </c>
      <c r="J57" s="206">
        <f>+Output!J78</f>
        <v>2.120565746192153</v>
      </c>
      <c r="K57" s="206">
        <f>+Output!K78</f>
        <v>1.639866263104248</v>
      </c>
      <c r="L57" s="206">
        <f>+Output!L78</f>
        <v>1.336454223763222</v>
      </c>
      <c r="M57" s="206"/>
      <c r="N57" s="332"/>
    </row>
    <row r="58" spans="2:14">
      <c r="B58" s="273">
        <f t="shared" si="31"/>
        <v>5</v>
      </c>
      <c r="C58" s="331" t="s">
        <v>590</v>
      </c>
      <c r="F58" s="206">
        <f>+(Model!N204-Model!N195)/Control!D42</f>
        <v>2.2154892566110478</v>
      </c>
      <c r="H58" s="206">
        <f>MAX((Output!H69-Output!H62)/'Exec. Summary'!H30,0)</f>
        <v>2.8135927088802055</v>
      </c>
      <c r="I58" s="206">
        <f>MAX((Output!I69-Output!I62)/'Exec. Summary'!I30,0)</f>
        <v>2.7392530814391911</v>
      </c>
      <c r="J58" s="206">
        <f>MAX((Output!J69-Output!J62)/'Exec. Summary'!J30,0)</f>
        <v>2.120565746192153</v>
      </c>
      <c r="K58" s="206">
        <f>MAX((Output!K69-Output!K62)/'Exec. Summary'!K30,0)</f>
        <v>1.639866263104248</v>
      </c>
      <c r="L58" s="206">
        <f>MAX((Output!L69-Output!L62)/'Exec. Summary'!L30,0)</f>
        <v>1.336454223763222</v>
      </c>
      <c r="M58" s="206"/>
      <c r="N58" s="332"/>
    </row>
    <row r="59" spans="2:14">
      <c r="B59" s="273">
        <f t="shared" si="31"/>
        <v>6</v>
      </c>
      <c r="C59" s="331" t="s">
        <v>585</v>
      </c>
      <c r="F59" s="201">
        <f>+Control!D49</f>
        <v>13.358342514285692</v>
      </c>
      <c r="H59" s="201">
        <f>+Output!H69</f>
        <v>21.358342514285692</v>
      </c>
      <c r="I59" s="201">
        <f>+Output!I69</f>
        <v>21.358342514285692</v>
      </c>
      <c r="J59" s="201">
        <f>+Output!J69</f>
        <v>21.358342514285692</v>
      </c>
      <c r="K59" s="201">
        <f>+Output!K69</f>
        <v>21.358342514285692</v>
      </c>
      <c r="L59" s="201">
        <f>+Output!L69</f>
        <v>21.358342514285692</v>
      </c>
      <c r="M59" s="201"/>
      <c r="N59" s="332"/>
    </row>
    <row r="60" spans="2:14">
      <c r="B60" s="273">
        <f t="shared" si="31"/>
        <v>7</v>
      </c>
      <c r="C60" s="331" t="s">
        <v>586</v>
      </c>
      <c r="F60" s="201">
        <f>+Control!D49-Model!N195</f>
        <v>2.3583425142856989</v>
      </c>
      <c r="H60" s="201">
        <f>MAX(+Output!H69-Output!H62,0)</f>
        <v>9.7755629108973388</v>
      </c>
      <c r="I60" s="201">
        <f>MAX(+Output!I69-Output!I62,0)</f>
        <v>19.514167106475671</v>
      </c>
      <c r="J60" s="201">
        <f>MAX(+Output!J69-Output!J62,0)</f>
        <v>21.358342514285692</v>
      </c>
      <c r="K60" s="201">
        <f>MAX(+Output!K69-Output!K62,0)</f>
        <v>21.358342514285692</v>
      </c>
      <c r="L60" s="201">
        <f>MAX(+Output!L69-Output!L62,0)</f>
        <v>21.358342514285692</v>
      </c>
      <c r="M60" s="201"/>
      <c r="N60" s="332"/>
    </row>
    <row r="61" spans="2:14">
      <c r="B61" s="273">
        <f t="shared" si="31"/>
        <v>8</v>
      </c>
      <c r="C61" s="331" t="s">
        <v>587</v>
      </c>
      <c r="H61" s="206">
        <f>IFERROR(+Model!O178/-Model!O181,0)</f>
        <v>1.6334040699468577</v>
      </c>
      <c r="I61" s="206">
        <f>IFERROR(+Model!P178/-Model!P181,0)</f>
        <v>1.688819418768325</v>
      </c>
      <c r="J61" s="206">
        <f>IFERROR(+Model!Q178/-Model!Q181,0)</f>
        <v>2.4433796309136291</v>
      </c>
      <c r="K61" s="206">
        <f>IFERROR(+Model!R178/-Model!R181,0)</f>
        <v>3.2333288723653459</v>
      </c>
      <c r="L61" s="206">
        <f>IFERROR(+Model!S178/-Model!S181,0)</f>
        <v>3.9631811365578953</v>
      </c>
      <c r="M61" s="206"/>
      <c r="N61" s="332"/>
    </row>
    <row r="62" spans="2:14">
      <c r="B62" s="273">
        <f t="shared" si="31"/>
        <v>9</v>
      </c>
      <c r="C62" s="333" t="s">
        <v>588</v>
      </c>
      <c r="H62" s="223">
        <f>IFERROR(+(Model!O178-'Exec. Summary'!H32)/-Model!O181,0)</f>
        <v>1.4109996020922471</v>
      </c>
      <c r="I62" s="223">
        <f>IFERROR(+(Model!P178-'Exec. Summary'!I32)/-Model!P181,0)</f>
        <v>1.4974454156735155</v>
      </c>
      <c r="J62" s="223">
        <f>IFERROR(+(Model!Q178-'Exec. Summary'!J32)/-Model!Q181,0)</f>
        <v>2.1663681308656288</v>
      </c>
      <c r="K62" s="223">
        <f>IFERROR(+(Model!R178-'Exec. Summary'!K32)/-Model!R181,0)</f>
        <v>2.8666766669361614</v>
      </c>
      <c r="L62" s="223">
        <f>IFERROR(+(Model!S178-'Exec. Summary'!L32)/-Model!S181,0)</f>
        <v>3.5137153479383789</v>
      </c>
      <c r="M62" s="223"/>
      <c r="N62" s="332"/>
    </row>
    <row r="63" spans="2:14">
      <c r="B63" s="273">
        <f t="shared" si="31"/>
        <v>10</v>
      </c>
      <c r="C63" s="334" t="s">
        <v>589</v>
      </c>
      <c r="D63" s="335"/>
      <c r="E63" s="335"/>
      <c r="F63" s="335"/>
      <c r="G63" s="335"/>
      <c r="H63" s="336">
        <f>IFERROR(+(Model!O178-'Exec. Summary'!H32)/(Model!O139),0)</f>
        <v>1.4109996020922471</v>
      </c>
      <c r="I63" s="336">
        <f>IFERROR(+(Model!P178-'Exec. Summary'!I32)/(Model!P139),0)</f>
        <v>1.4974454156735155</v>
      </c>
      <c r="J63" s="336">
        <f>IFERROR(+(Model!Q178-'Exec. Summary'!J32)/(Model!Q139),0)</f>
        <v>2.1663681308656288</v>
      </c>
      <c r="K63" s="336">
        <f>IFERROR(+(Model!R178-'Exec. Summary'!K32)/(Model!R139),0)</f>
        <v>2.8666766669361614</v>
      </c>
      <c r="L63" s="336">
        <f>IFERROR(+(Model!S178-'Exec. Summary'!L32)/(Model!S139),0)</f>
        <v>3.5137153479383789</v>
      </c>
      <c r="M63" s="336"/>
      <c r="N63" s="337"/>
    </row>
    <row r="65" spans="2:14" ht="19">
      <c r="B65" s="273">
        <f t="shared" si="31"/>
        <v>1</v>
      </c>
      <c r="C65" s="338" t="s">
        <v>726</v>
      </c>
      <c r="D65" s="339"/>
      <c r="E65" s="339"/>
      <c r="F65" s="339"/>
      <c r="G65" s="340"/>
      <c r="H65" s="338" t="s">
        <v>728</v>
      </c>
      <c r="I65" s="341"/>
      <c r="J65" s="341"/>
      <c r="K65" s="341"/>
      <c r="L65" s="342" t="s">
        <v>756</v>
      </c>
      <c r="M65" s="343"/>
      <c r="N65" s="344"/>
    </row>
    <row r="66" spans="2:14" ht="19">
      <c r="B66" s="273">
        <f>+B65+1</f>
        <v>2</v>
      </c>
      <c r="C66" s="345" t="s">
        <v>412</v>
      </c>
      <c r="D66" s="346" t="s">
        <v>727</v>
      </c>
      <c r="E66" s="347" t="s">
        <v>410</v>
      </c>
      <c r="F66" s="347"/>
      <c r="G66" s="348" t="s">
        <v>727</v>
      </c>
      <c r="H66" s="349" t="s">
        <v>729</v>
      </c>
      <c r="I66" s="346"/>
      <c r="J66" s="346" t="s">
        <v>727</v>
      </c>
      <c r="K66" s="346" t="s">
        <v>731</v>
      </c>
      <c r="L66" s="350" t="s">
        <v>733</v>
      </c>
      <c r="M66" s="351">
        <f>+Output!E136</f>
        <v>0.39345196829848961</v>
      </c>
      <c r="N66" s="352">
        <f>+Output!E137</f>
        <v>3.3191748572114497</v>
      </c>
    </row>
    <row r="67" spans="2:14">
      <c r="B67" s="273">
        <f t="shared" ref="B67:B70" si="33">+B66+1</f>
        <v>3</v>
      </c>
      <c r="C67" s="353" t="str">
        <f>+Output!C24</f>
        <v>Purchase Price</v>
      </c>
      <c r="D67" s="354">
        <f>+Output!E24</f>
        <v>44.780283109999928</v>
      </c>
      <c r="E67" s="180" t="str">
        <f>+Output!C17</f>
        <v>Equity</v>
      </c>
      <c r="G67" s="355">
        <f>+Output!E17</f>
        <v>18.033762394285684</v>
      </c>
      <c r="H67" s="353" t="s">
        <v>63</v>
      </c>
      <c r="J67" s="201">
        <f>+F19</f>
        <v>45.929656189999996</v>
      </c>
      <c r="K67" s="206">
        <f>+J67/Control!D44</f>
        <v>0.98236430885005499</v>
      </c>
      <c r="L67" s="356">
        <f>+L68-1</f>
        <v>8</v>
      </c>
      <c r="M67" s="186">
        <v>0.21253000756364782</v>
      </c>
      <c r="N67" s="357">
        <v>1.9895255452198397</v>
      </c>
    </row>
    <row r="68" spans="2:14">
      <c r="B68" s="273">
        <f t="shared" si="33"/>
        <v>4</v>
      </c>
      <c r="C68" s="353" t="str">
        <f>+Output!C25</f>
        <v>OldCo Debt</v>
      </c>
      <c r="D68" s="354">
        <f>+Output!E25</f>
        <v>1.9739156899999999</v>
      </c>
      <c r="E68" s="180" t="str">
        <f>+Output!C18</f>
        <v>Subordinated debt</v>
      </c>
      <c r="G68" s="355">
        <f>+Output!E18</f>
        <v>15.362093891428545</v>
      </c>
      <c r="L68" s="356">
        <f>+L69-1</f>
        <v>9</v>
      </c>
      <c r="M68" s="186">
        <v>0.28922662701075152</v>
      </c>
      <c r="N68" s="357">
        <v>2.4954046713747493</v>
      </c>
    </row>
    <row r="69" spans="2:14">
      <c r="B69" s="273">
        <f t="shared" si="33"/>
        <v>5</v>
      </c>
      <c r="C69" s="353" t="str">
        <f>+Output!C26</f>
        <v>Acquisition reserve</v>
      </c>
      <c r="D69" s="354">
        <f>+Output!E26</f>
        <v>8</v>
      </c>
      <c r="E69" s="180" t="str">
        <f>+Output!C19</f>
        <v>Sr. Debt - EV</v>
      </c>
      <c r="G69" s="355">
        <f>+Output!E19</f>
        <v>13.358342514285692</v>
      </c>
      <c r="H69" s="353" t="s">
        <v>730</v>
      </c>
      <c r="J69" s="201">
        <f>+F26</f>
        <v>4.6754198799999926</v>
      </c>
      <c r="K69" s="206">
        <f>+Control!D43</f>
        <v>10</v>
      </c>
      <c r="L69" s="358">
        <f>Control!$D$58</f>
        <v>10</v>
      </c>
      <c r="M69" s="359">
        <f>+Output!E136</f>
        <v>0.39345196829848961</v>
      </c>
      <c r="N69" s="360">
        <f>+Output!E137</f>
        <v>3.3191748572114497</v>
      </c>
    </row>
    <row r="70" spans="2:14">
      <c r="B70" s="273">
        <f t="shared" si="33"/>
        <v>6</v>
      </c>
      <c r="C70" s="353"/>
      <c r="D70" s="354"/>
      <c r="E70" s="361" t="str">
        <f>+Output!C20</f>
        <v>Sr. Debt - Inorganic Acq. Reserve</v>
      </c>
      <c r="G70" s="355">
        <f>+Output!E20</f>
        <v>8</v>
      </c>
      <c r="L70" s="356">
        <f>L69+1</f>
        <v>11</v>
      </c>
      <c r="M70" s="186">
        <v>0.41173982973614676</v>
      </c>
      <c r="N70" s="357">
        <v>3.5071629236845689</v>
      </c>
    </row>
    <row r="71" spans="2:14">
      <c r="B71" s="273">
        <f>+B70+1</f>
        <v>7</v>
      </c>
      <c r="C71" s="362" t="str">
        <f>+Output!C27</f>
        <v>Uses</v>
      </c>
      <c r="D71" s="363">
        <f>+SUM(D67:D70)</f>
        <v>54.754198799999926</v>
      </c>
      <c r="E71" s="364" t="s">
        <v>410</v>
      </c>
      <c r="F71" s="363"/>
      <c r="G71" s="363">
        <f>+Output!E21</f>
        <v>54.754198799999926</v>
      </c>
      <c r="H71" s="365" t="s">
        <v>732</v>
      </c>
      <c r="I71" s="292"/>
      <c r="J71" s="294">
        <f>+J69-H35</f>
        <v>4.2023444212429926</v>
      </c>
      <c r="K71" s="366">
        <f>+Control!D44/'Exec. Summary'!J71</f>
        <v>11.125741755877</v>
      </c>
      <c r="L71" s="367">
        <f>L70+1</f>
        <v>12</v>
      </c>
      <c r="M71" s="368">
        <v>0.46285614493913951</v>
      </c>
      <c r="N71" s="369">
        <v>4.0130420498394788</v>
      </c>
    </row>
    <row r="75" spans="2:14">
      <c r="L75" s="186"/>
    </row>
    <row r="76" spans="2:14">
      <c r="L76" s="370"/>
    </row>
    <row r="77" spans="2:14">
      <c r="L77" s="371"/>
    </row>
  </sheetData>
  <pageMargins left="0.7" right="0.7" top="0.31" bottom="0.28000000000000003" header="0.3" footer="0.3"/>
  <pageSetup scale="81" orientation="landscape" r:id="rId1"/>
  <rowBreaks count="1" manualBreakCount="1">
    <brk id="10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2D4E-714B-416E-B866-2E52D93D779E}">
  <sheetPr>
    <tabColor theme="8" tint="-0.499984740745262"/>
    <outlinePr summaryBelow="0" summaryRight="0"/>
  </sheetPr>
  <dimension ref="A2:T353"/>
  <sheetViews>
    <sheetView showGridLines="0" zoomScale="150" zoomScaleNormal="150" workbookViewId="0">
      <pane ySplit="12" topLeftCell="A332" activePane="bottomLeft" state="frozen"/>
      <selection pane="bottomLeft" sqref="A1:XFD1048576"/>
    </sheetView>
  </sheetViews>
  <sheetFormatPr baseColWidth="10" defaultColWidth="8.6640625" defaultRowHeight="16" outlineLevelRow="1"/>
  <cols>
    <col min="1" max="1" width="2" style="180" bestFit="1" customWidth="1"/>
    <col min="2" max="2" width="3.83203125" style="180" bestFit="1" customWidth="1"/>
    <col min="3" max="3" width="39.6640625" style="180" bestFit="1" customWidth="1"/>
    <col min="4" max="4" width="7.83203125" style="180" bestFit="1" customWidth="1"/>
    <col min="5" max="5" width="9.1640625" style="180" bestFit="1" customWidth="1"/>
    <col min="6" max="8" width="9" style="180" bestFit="1" customWidth="1"/>
    <col min="9" max="9" width="8.1640625" style="180" bestFit="1" customWidth="1"/>
    <col min="10" max="10" width="6.6640625" style="372" customWidth="1"/>
    <col min="11" max="17" width="6.6640625" style="180" customWidth="1"/>
    <col min="18" max="18" width="2" style="180" bestFit="1" customWidth="1"/>
    <col min="19" max="19" width="9.1640625" style="180" bestFit="1" customWidth="1"/>
    <col min="20" max="16384" width="8.6640625" style="180"/>
  </cols>
  <sheetData>
    <row r="2" spans="1:16">
      <c r="A2" s="177" t="s">
        <v>10</v>
      </c>
      <c r="B2" s="178" t="s">
        <v>219</v>
      </c>
      <c r="C2" s="178"/>
      <c r="D2" s="179"/>
      <c r="E2" s="179"/>
    </row>
    <row r="3" spans="1:16" collapsed="1">
      <c r="B3" s="260" t="str">
        <f>+Control!B3</f>
        <v>Live Scenario</v>
      </c>
      <c r="D3" s="182" t="str">
        <f>+Control!C3</f>
        <v>Selection</v>
      </c>
      <c r="E3" s="236" t="str">
        <f>+Control!D3</f>
        <v>Inorganic Acquisitions</v>
      </c>
    </row>
    <row r="4" spans="1:16" hidden="1" outlineLevel="1">
      <c r="B4" s="260" t="str">
        <f>+Control!B4</f>
        <v>Avg. EBITDA margin</v>
      </c>
      <c r="D4" s="182" t="str">
        <f>+Control!C4</f>
        <v>%</v>
      </c>
      <c r="E4" s="185">
        <f>+Control!D4</f>
        <v>8.671174765588284E-2</v>
      </c>
    </row>
    <row r="5" spans="1:16" hidden="1" outlineLevel="1">
      <c r="B5" s="260" t="str">
        <f>+Control!B5</f>
        <v>Avg. Net margin</v>
      </c>
      <c r="D5" s="182" t="str">
        <f>+Control!C5</f>
        <v>%</v>
      </c>
      <c r="E5" s="185">
        <f>+Control!D5</f>
        <v>2.7535590762637903E-2</v>
      </c>
    </row>
    <row r="6" spans="1:16" hidden="1" outlineLevel="1">
      <c r="B6" s="260" t="str">
        <f>+Control!B6</f>
        <v>Unlevered IRR</v>
      </c>
      <c r="D6" s="182" t="str">
        <f>+Control!C6</f>
        <v>%</v>
      </c>
      <c r="E6" s="185">
        <f>+Control!D6</f>
        <v>0.27867027094547425</v>
      </c>
    </row>
    <row r="7" spans="1:16" hidden="1" outlineLevel="1">
      <c r="B7" s="260" t="str">
        <f>+Control!B7</f>
        <v>Total Cost of Debt</v>
      </c>
      <c r="D7" s="182" t="str">
        <f>+Control!C7</f>
        <v>%</v>
      </c>
      <c r="E7" s="264">
        <f>+Control!D7</f>
        <v>0.1687335662136471</v>
      </c>
    </row>
    <row r="8" spans="1:16" hidden="1" outlineLevel="1">
      <c r="B8" s="260" t="str">
        <f>+Control!B8</f>
        <v>Debt Term</v>
      </c>
      <c r="D8" s="182" t="str">
        <f>+Control!C8</f>
        <v>Years</v>
      </c>
      <c r="E8" s="265">
        <f>+Control!D8</f>
        <v>10</v>
      </c>
    </row>
    <row r="9" spans="1:16" hidden="1" outlineLevel="1">
      <c r="B9" s="260" t="str">
        <f>+Control!B9</f>
        <v>Levered IRR</v>
      </c>
      <c r="D9" s="182" t="str">
        <f>+Control!C9</f>
        <v>%</v>
      </c>
      <c r="E9" s="190">
        <f>+Control!D9</f>
        <v>0.39345196829848961</v>
      </c>
    </row>
    <row r="10" spans="1:16" hidden="1" outlineLevel="1">
      <c r="B10" s="260" t="str">
        <f>+Control!B10</f>
        <v>Levered MoiC</v>
      </c>
      <c r="D10" s="182" t="str">
        <f>+Control!C10</f>
        <v>0.0x</v>
      </c>
      <c r="E10" s="373">
        <f>+Control!D10</f>
        <v>3.3191748572114497</v>
      </c>
    </row>
    <row r="11" spans="1:16" hidden="1" outlineLevel="1">
      <c r="B11" s="260" t="str">
        <f>+Control!B12</f>
        <v>Master Check</v>
      </c>
      <c r="D11" s="182" t="str">
        <f>+Control!C12</f>
        <v>Check</v>
      </c>
      <c r="E11" s="266">
        <f>+Control!D12</f>
        <v>0</v>
      </c>
    </row>
    <row r="12" spans="1:16" hidden="1" outlineLevel="1"/>
    <row r="14" spans="1:16">
      <c r="A14" s="177" t="s">
        <v>10</v>
      </c>
      <c r="B14" s="178" t="s">
        <v>409</v>
      </c>
      <c r="C14" s="178"/>
      <c r="D14" s="179"/>
      <c r="E14" s="374"/>
      <c r="F14" s="179"/>
      <c r="G14" s="179"/>
      <c r="H14" s="179"/>
      <c r="I14" s="179"/>
      <c r="J14" s="375"/>
      <c r="K14" s="179"/>
      <c r="L14" s="179"/>
      <c r="M14" s="179"/>
      <c r="N14" s="179"/>
      <c r="O14" s="179"/>
      <c r="P14" s="179"/>
    </row>
    <row r="15" spans="1:16">
      <c r="B15" s="204"/>
      <c r="C15" s="204"/>
      <c r="D15" s="376"/>
    </row>
    <row r="16" spans="1:16">
      <c r="B16" s="377">
        <v>1</v>
      </c>
      <c r="C16" s="378" t="s">
        <v>410</v>
      </c>
      <c r="D16" s="379" t="s">
        <v>12</v>
      </c>
      <c r="E16" s="380" t="s">
        <v>415</v>
      </c>
      <c r="F16" s="381" t="s">
        <v>14</v>
      </c>
    </row>
    <row r="17" spans="1:20">
      <c r="B17" s="377">
        <f>+B16+1</f>
        <v>2</v>
      </c>
      <c r="C17" s="184" t="s">
        <v>49</v>
      </c>
      <c r="D17" s="182" t="s">
        <v>67</v>
      </c>
      <c r="E17" s="382">
        <f>+Control!D55</f>
        <v>18.033762394285684</v>
      </c>
      <c r="F17" s="243">
        <f>+E17/$E$21</f>
        <v>0.32935852938251209</v>
      </c>
    </row>
    <row r="18" spans="1:20">
      <c r="B18" s="377">
        <f t="shared" ref="B18:B27" si="0">+B17+1</f>
        <v>3</v>
      </c>
      <c r="C18" s="184" t="s">
        <v>198</v>
      </c>
      <c r="D18" s="182" t="s">
        <v>67</v>
      </c>
      <c r="E18" s="383">
        <f>+Control!D56</f>
        <v>15.362093891428545</v>
      </c>
      <c r="F18" s="243">
        <f>+E18/$E$21</f>
        <v>0.28056467317769546</v>
      </c>
    </row>
    <row r="19" spans="1:20">
      <c r="B19" s="377">
        <f>+B18+1</f>
        <v>4</v>
      </c>
      <c r="C19" s="184" t="s">
        <v>755</v>
      </c>
      <c r="D19" s="182" t="s">
        <v>67</v>
      </c>
      <c r="E19" s="383">
        <f>Control!D76-Control!D75</f>
        <v>13.358342514285692</v>
      </c>
      <c r="F19" s="243">
        <f>+E19/$E$21</f>
        <v>0.24396928102408302</v>
      </c>
    </row>
    <row r="20" spans="1:20">
      <c r="B20" s="377">
        <f t="shared" si="0"/>
        <v>5</v>
      </c>
      <c r="C20" s="184" t="s">
        <v>885</v>
      </c>
      <c r="D20" s="182" t="s">
        <v>67</v>
      </c>
      <c r="E20" s="383">
        <f>+Control!D75</f>
        <v>8</v>
      </c>
      <c r="F20" s="243">
        <f>+E20/$E$21</f>
        <v>0.14610751641570929</v>
      </c>
      <c r="S20" s="384"/>
    </row>
    <row r="21" spans="1:20" s="213" customFormat="1">
      <c r="B21" s="377">
        <f t="shared" si="0"/>
        <v>6</v>
      </c>
      <c r="C21" s="385" t="s">
        <v>410</v>
      </c>
      <c r="D21" s="386" t="s">
        <v>67</v>
      </c>
      <c r="E21" s="387">
        <f>SUM(E17:E20)</f>
        <v>54.754198799999926</v>
      </c>
      <c r="F21" s="388">
        <f>+E21/$E$21</f>
        <v>1</v>
      </c>
      <c r="J21" s="389"/>
      <c r="S21" s="180"/>
    </row>
    <row r="22" spans="1:20">
      <c r="B22" s="377">
        <f t="shared" si="0"/>
        <v>7</v>
      </c>
    </row>
    <row r="23" spans="1:20">
      <c r="B23" s="377">
        <f t="shared" si="0"/>
        <v>8</v>
      </c>
      <c r="C23" s="378" t="s">
        <v>412</v>
      </c>
      <c r="D23" s="379" t="s">
        <v>12</v>
      </c>
      <c r="E23" s="380" t="s">
        <v>415</v>
      </c>
      <c r="F23" s="381" t="s">
        <v>14</v>
      </c>
    </row>
    <row r="24" spans="1:20">
      <c r="B24" s="377">
        <f t="shared" si="0"/>
        <v>9</v>
      </c>
      <c r="C24" s="184" t="s">
        <v>413</v>
      </c>
      <c r="D24" s="182" t="s">
        <v>67</v>
      </c>
      <c r="E24" s="382">
        <f>+E21-SUM(E25:E26)</f>
        <v>44.780283109999928</v>
      </c>
      <c r="F24" s="243">
        <f t="shared" ref="F24:F27" si="1">+E24/$E$21</f>
        <v>0.8178419936993031</v>
      </c>
    </row>
    <row r="25" spans="1:20">
      <c r="B25" s="377">
        <f t="shared" si="0"/>
        <v>10</v>
      </c>
      <c r="C25" s="184" t="s">
        <v>414</v>
      </c>
      <c r="D25" s="182" t="s">
        <v>67</v>
      </c>
      <c r="E25" s="382">
        <f>+Model!G204</f>
        <v>1.9739156899999999</v>
      </c>
      <c r="F25" s="243">
        <f t="shared" si="1"/>
        <v>3.6050489884987644E-2</v>
      </c>
      <c r="T25" s="370"/>
    </row>
    <row r="26" spans="1:20">
      <c r="B26" s="377">
        <f t="shared" si="0"/>
        <v>11</v>
      </c>
      <c r="C26" s="184" t="s">
        <v>752</v>
      </c>
      <c r="D26" s="182" t="s">
        <v>67</v>
      </c>
      <c r="E26" s="382">
        <f>+Control!D75</f>
        <v>8</v>
      </c>
      <c r="F26" s="243">
        <f t="shared" si="1"/>
        <v>0.14610751641570929</v>
      </c>
      <c r="S26" s="384"/>
      <c r="T26" s="206"/>
    </row>
    <row r="27" spans="1:20">
      <c r="B27" s="377">
        <f t="shared" si="0"/>
        <v>12</v>
      </c>
      <c r="C27" s="385" t="s">
        <v>412</v>
      </c>
      <c r="D27" s="386" t="s">
        <v>67</v>
      </c>
      <c r="E27" s="390">
        <f>+E21</f>
        <v>54.754198799999926</v>
      </c>
      <c r="F27" s="388">
        <f t="shared" si="1"/>
        <v>1</v>
      </c>
    </row>
    <row r="29" spans="1:20">
      <c r="A29" s="177" t="s">
        <v>10</v>
      </c>
      <c r="B29" s="178" t="s">
        <v>440</v>
      </c>
      <c r="C29" s="178"/>
      <c r="D29" s="179"/>
      <c r="E29" s="179"/>
      <c r="F29" s="179"/>
      <c r="G29" s="179"/>
      <c r="H29" s="179"/>
      <c r="I29" s="179"/>
      <c r="J29" s="375"/>
      <c r="K29" s="179"/>
      <c r="L29" s="179"/>
      <c r="M29" s="179"/>
      <c r="N29" s="179"/>
      <c r="O29" s="179"/>
      <c r="P29" s="179"/>
      <c r="Q29" s="179"/>
      <c r="R29" s="179"/>
      <c r="S29" s="179"/>
    </row>
    <row r="31" spans="1:20">
      <c r="B31" s="377">
        <v>1</v>
      </c>
      <c r="C31" s="378" t="s">
        <v>30</v>
      </c>
      <c r="D31" s="379" t="s">
        <v>12</v>
      </c>
      <c r="E31" s="391">
        <f>+F31-1</f>
        <v>2021</v>
      </c>
      <c r="F31" s="391">
        <f>+G31-1</f>
        <v>2022</v>
      </c>
      <c r="G31" s="391">
        <v>2023</v>
      </c>
      <c r="H31" s="392">
        <v>2024</v>
      </c>
      <c r="I31" s="393">
        <f>+H31+1</f>
        <v>2025</v>
      </c>
      <c r="J31" s="394">
        <f t="shared" ref="J31:N31" si="2">+I31+1</f>
        <v>2026</v>
      </c>
      <c r="K31" s="393">
        <f t="shared" si="2"/>
        <v>2027</v>
      </c>
      <c r="L31" s="393">
        <f t="shared" si="2"/>
        <v>2028</v>
      </c>
      <c r="M31" s="393">
        <f t="shared" si="2"/>
        <v>2029</v>
      </c>
      <c r="N31" s="393">
        <f t="shared" si="2"/>
        <v>2030</v>
      </c>
      <c r="O31" s="393">
        <f t="shared" ref="O31" si="3">+N31+1</f>
        <v>2031</v>
      </c>
      <c r="P31" s="393">
        <f t="shared" ref="P31" si="4">+O31+1</f>
        <v>2032</v>
      </c>
      <c r="Q31" s="393">
        <f t="shared" ref="Q31" si="5">+P31+1</f>
        <v>2033</v>
      </c>
      <c r="R31" s="372" t="s">
        <v>702</v>
      </c>
      <c r="S31" s="395" t="s">
        <v>411</v>
      </c>
    </row>
    <row r="32" spans="1:20">
      <c r="B32" s="377">
        <f>+B31+1</f>
        <v>2</v>
      </c>
      <c r="C32" s="184" t="str">
        <f>+Model!B174</f>
        <v>Revenue</v>
      </c>
      <c r="D32" s="182" t="s">
        <v>67</v>
      </c>
      <c r="E32" s="201">
        <f>+Model!E174</f>
        <v>29.874130079999997</v>
      </c>
      <c r="F32" s="201">
        <f>+Model!F174</f>
        <v>39.019757800000008</v>
      </c>
      <c r="G32" s="201">
        <f>+Model!G174</f>
        <v>45.929656189999996</v>
      </c>
      <c r="H32" s="396">
        <f>+Model!O174</f>
        <v>47.307545875699994</v>
      </c>
      <c r="I32" s="201">
        <f>+Model!P174</f>
        <v>80.726772251970999</v>
      </c>
      <c r="J32" s="397">
        <f>+Model!Q174</f>
        <v>114.18857541953012</v>
      </c>
      <c r="K32" s="201">
        <f>+Model!R174</f>
        <v>147.69423268211602</v>
      </c>
      <c r="L32" s="201">
        <f>+Model!S174</f>
        <v>181.24505966257951</v>
      </c>
      <c r="M32" s="201">
        <f>+Model!T174</f>
        <v>214.8424114524569</v>
      </c>
      <c r="N32" s="201">
        <f>+Model!U174</f>
        <v>248.48768379603061</v>
      </c>
      <c r="O32" s="201">
        <f>+Model!V174</f>
        <v>282.18231430991153</v>
      </c>
      <c r="P32" s="201">
        <f>+Model!W174</f>
        <v>315.92778373920885</v>
      </c>
      <c r="Q32" s="201">
        <f>+Model!X174</f>
        <v>349.72561725138513</v>
      </c>
      <c r="S32" s="201">
        <f>+SUM(H32:Q32)</f>
        <v>1982.3279964408896</v>
      </c>
    </row>
    <row r="33" spans="2:19">
      <c r="B33" s="377">
        <f t="shared" ref="B33:B47" si="6">+B32+1</f>
        <v>3</v>
      </c>
      <c r="C33" s="184" t="str">
        <f>+Model!B175</f>
        <v>Costs</v>
      </c>
      <c r="D33" s="182" t="s">
        <v>67</v>
      </c>
      <c r="E33" s="201">
        <f>+Model!E175</f>
        <v>-10.61804134</v>
      </c>
      <c r="F33" s="201">
        <f>+Model!F175</f>
        <v>-14.389310120000001</v>
      </c>
      <c r="G33" s="201">
        <f>+Model!G175</f>
        <v>-16.39794917</v>
      </c>
      <c r="H33" s="396">
        <f>+Model!O175</f>
        <v>-17.025558629328973</v>
      </c>
      <c r="I33" s="201">
        <f>+Model!P175</f>
        <v>-29.05283646595592</v>
      </c>
      <c r="J33" s="397">
        <f>+Model!Q175</f>
        <v>-41.095437305349265</v>
      </c>
      <c r="K33" s="201">
        <f>+Model!R175</f>
        <v>-53.153820837591994</v>
      </c>
      <c r="L33" s="201">
        <f>+Model!S175</f>
        <v>-65.228460543469595</v>
      </c>
      <c r="M33" s="201">
        <f>+Model!T175</f>
        <v>-77.31984410819112</v>
      </c>
      <c r="N33" s="201">
        <f>+Model!U175</f>
        <v>-89.428473847521872</v>
      </c>
      <c r="O33" s="201">
        <f>+Model!V175</f>
        <v>-101.55486714670013</v>
      </c>
      <c r="P33" s="201">
        <f>+Model!W175</f>
        <v>-113.69955691252133</v>
      </c>
      <c r="Q33" s="201">
        <f>+Model!X175</f>
        <v>-125.86309203898475</v>
      </c>
      <c r="S33" s="201">
        <f t="shared" ref="S33:S43" si="7">+SUM(H33:Q33)</f>
        <v>-713.42194783561501</v>
      </c>
    </row>
    <row r="34" spans="2:19">
      <c r="B34" s="377">
        <f t="shared" si="6"/>
        <v>4</v>
      </c>
      <c r="C34" s="385" t="str">
        <f>+Model!B176</f>
        <v>Gross Profit</v>
      </c>
      <c r="D34" s="398" t="s">
        <v>67</v>
      </c>
      <c r="E34" s="387">
        <f>+Model!E176</f>
        <v>19.256088739999996</v>
      </c>
      <c r="F34" s="387">
        <f>+Model!F176</f>
        <v>24.630447680000007</v>
      </c>
      <c r="G34" s="387">
        <f>+Model!G176</f>
        <v>29.531707019999995</v>
      </c>
      <c r="H34" s="399">
        <f>+Model!O176</f>
        <v>30.28198724637102</v>
      </c>
      <c r="I34" s="387">
        <f>+Model!P176</f>
        <v>51.673935786015079</v>
      </c>
      <c r="J34" s="400">
        <f>+Model!Q176</f>
        <v>73.09313811418086</v>
      </c>
      <c r="K34" s="387">
        <f>+Model!R176</f>
        <v>94.54041184452403</v>
      </c>
      <c r="L34" s="387">
        <f>+Model!S176</f>
        <v>116.01659911910991</v>
      </c>
      <c r="M34" s="387">
        <f>+Model!T176</f>
        <v>137.52256734426578</v>
      </c>
      <c r="N34" s="387">
        <f>+Model!U176</f>
        <v>159.05920994850874</v>
      </c>
      <c r="O34" s="387">
        <f>+Model!V176</f>
        <v>180.6274471632114</v>
      </c>
      <c r="P34" s="387">
        <f>+Model!W176</f>
        <v>202.22822682668752</v>
      </c>
      <c r="Q34" s="387">
        <f>+Model!X176</f>
        <v>223.86252521240039</v>
      </c>
      <c r="S34" s="387">
        <f t="shared" si="7"/>
        <v>1268.9060486052747</v>
      </c>
    </row>
    <row r="35" spans="2:19">
      <c r="B35" s="377">
        <f t="shared" si="6"/>
        <v>5</v>
      </c>
      <c r="C35" s="184" t="str">
        <f>+Model!B177</f>
        <v>SG&amp;A</v>
      </c>
      <c r="D35" s="182" t="s">
        <v>67</v>
      </c>
      <c r="E35" s="201">
        <f>+Model!E177</f>
        <v>-15.285583589888935</v>
      </c>
      <c r="F35" s="201">
        <f>+Model!F177</f>
        <v>-20.639335187946639</v>
      </c>
      <c r="G35" s="201">
        <f>+Model!G177</f>
        <v>-24.856287140000003</v>
      </c>
      <c r="H35" s="396">
        <f>+Model!O177</f>
        <v>-26.807581416400001</v>
      </c>
      <c r="I35" s="201">
        <f>+Model!P177</f>
        <v>-44.550035026826002</v>
      </c>
      <c r="J35" s="397">
        <f>+Model!Q177</f>
        <v>-63.021136077630786</v>
      </c>
      <c r="K35" s="201">
        <f>+Model!R177</f>
        <v>-81.515970159959707</v>
      </c>
      <c r="L35" s="201">
        <f>+Model!S177</f>
        <v>-100.03524926475851</v>
      </c>
      <c r="M35" s="201">
        <f>+Model!T177</f>
        <v>-118.57970674270126</v>
      </c>
      <c r="N35" s="201">
        <f>+Model!U177</f>
        <v>-137.15009794498229</v>
      </c>
      <c r="O35" s="201">
        <f>+Model!V177</f>
        <v>-155.74720088333174</v>
      </c>
      <c r="P35" s="201">
        <f>+Model!W177</f>
        <v>-174.37181690983172</v>
      </c>
      <c r="Q35" s="201">
        <f>+Model!X177</f>
        <v>-193.02477141712666</v>
      </c>
      <c r="S35" s="201">
        <f t="shared" si="7"/>
        <v>-1094.8035658435488</v>
      </c>
    </row>
    <row r="36" spans="2:19">
      <c r="B36" s="377">
        <f t="shared" si="6"/>
        <v>6</v>
      </c>
      <c r="C36" s="385" t="str">
        <f>+Model!B178</f>
        <v>EBITDA</v>
      </c>
      <c r="D36" s="398" t="s">
        <v>67</v>
      </c>
      <c r="E36" s="387">
        <f>+Model!E178</f>
        <v>3.9705051501110606</v>
      </c>
      <c r="F36" s="387">
        <f>+Model!F178</f>
        <v>3.991112492053368</v>
      </c>
      <c r="G36" s="387">
        <f>+Model!G178</f>
        <v>4.6754198799999926</v>
      </c>
      <c r="H36" s="399">
        <f>+Model!O178</f>
        <v>3.474405829971019</v>
      </c>
      <c r="I36" s="387">
        <f>+Model!P178</f>
        <v>7.1239007591890768</v>
      </c>
      <c r="J36" s="400">
        <f>+Model!Q178</f>
        <v>10.072002036550074</v>
      </c>
      <c r="K36" s="387">
        <f>+Model!R178</f>
        <v>13.024441684564323</v>
      </c>
      <c r="L36" s="387">
        <f>+Model!S178</f>
        <v>15.981349854351407</v>
      </c>
      <c r="M36" s="387">
        <f>+Model!T178</f>
        <v>18.942860601564519</v>
      </c>
      <c r="N36" s="387">
        <f>+Model!U178</f>
        <v>21.909112003526445</v>
      </c>
      <c r="O36" s="387">
        <f>+Model!V178</f>
        <v>24.880246279879657</v>
      </c>
      <c r="P36" s="387">
        <f>+Model!W178</f>
        <v>27.856409916855796</v>
      </c>
      <c r="Q36" s="387">
        <f>+Model!X178</f>
        <v>30.837753795273727</v>
      </c>
      <c r="S36" s="387">
        <f t="shared" si="7"/>
        <v>174.10248276172604</v>
      </c>
    </row>
    <row r="37" spans="2:19">
      <c r="B37" s="377">
        <f t="shared" si="6"/>
        <v>7</v>
      </c>
      <c r="C37" s="184" t="str">
        <f>+Model!B179</f>
        <v>D&amp;A</v>
      </c>
      <c r="D37" s="182" t="s">
        <v>67</v>
      </c>
      <c r="E37" s="201">
        <f>+Model!E179</f>
        <v>-0.37489528000000005</v>
      </c>
      <c r="F37" s="201">
        <f>+Model!F179</f>
        <v>-0.51956804999999995</v>
      </c>
      <c r="G37" s="201">
        <f>+Model!G179</f>
        <v>-0.59278354</v>
      </c>
      <c r="H37" s="396">
        <f>+Model!O179</f>
        <v>-0.33486041600000005</v>
      </c>
      <c r="I37" s="201">
        <f>+Model!P179</f>
        <v>-0.38216796187570007</v>
      </c>
      <c r="J37" s="397">
        <f>+Model!Q179</f>
        <v>-0.46289473412767101</v>
      </c>
      <c r="K37" s="201">
        <f>+Model!R179</f>
        <v>-0.57708330954720122</v>
      </c>
      <c r="L37" s="201">
        <f>+Model!S179</f>
        <v>-0.72477754222931723</v>
      </c>
      <c r="M37" s="201">
        <f>+Model!T179</f>
        <v>-0.90602260189189676</v>
      </c>
      <c r="N37" s="201">
        <f>+Model!U179</f>
        <v>-1.1208650133443538</v>
      </c>
      <c r="O37" s="201">
        <f>+Model!V179</f>
        <v>-1.3693526971403847</v>
      </c>
      <c r="P37" s="201">
        <f>+Model!W179</f>
        <v>-1.6515350114502962</v>
      </c>
      <c r="Q37" s="201">
        <f>+Model!X179</f>
        <v>-1.9674627951895047</v>
      </c>
      <c r="S37" s="201">
        <f t="shared" si="7"/>
        <v>-9.4970220827963256</v>
      </c>
    </row>
    <row r="38" spans="2:19">
      <c r="B38" s="377">
        <f t="shared" si="6"/>
        <v>8</v>
      </c>
      <c r="C38" s="385" t="str">
        <f>+Model!B180</f>
        <v>EBIT</v>
      </c>
      <c r="D38" s="398" t="s">
        <v>67</v>
      </c>
      <c r="E38" s="387">
        <f>+Model!E180</f>
        <v>3.5956098701110606</v>
      </c>
      <c r="F38" s="387">
        <f>+Model!F180</f>
        <v>3.4715444420533679</v>
      </c>
      <c r="G38" s="387">
        <f>+Model!G180</f>
        <v>4.0826363399999925</v>
      </c>
      <c r="H38" s="399">
        <f>+Model!O180</f>
        <v>3.1395454139710188</v>
      </c>
      <c r="I38" s="387">
        <f>+Model!P180</f>
        <v>6.7417327973133769</v>
      </c>
      <c r="J38" s="400">
        <f>+Model!Q180</f>
        <v>9.6091073024224034</v>
      </c>
      <c r="K38" s="387">
        <f>+Model!R180</f>
        <v>12.447358375017121</v>
      </c>
      <c r="L38" s="387">
        <f>+Model!S180</f>
        <v>15.25657231212209</v>
      </c>
      <c r="M38" s="387">
        <f>+Model!T180</f>
        <v>18.03683799967262</v>
      </c>
      <c r="N38" s="387">
        <f>+Model!U180</f>
        <v>20.788246990182092</v>
      </c>
      <c r="O38" s="387">
        <f>+Model!V180</f>
        <v>23.510893582739271</v>
      </c>
      <c r="P38" s="387">
        <f>+Model!W180</f>
        <v>26.2048749054055</v>
      </c>
      <c r="Q38" s="387">
        <f>+Model!X180</f>
        <v>28.870291000084222</v>
      </c>
      <c r="S38" s="387">
        <f t="shared" si="7"/>
        <v>164.60546067892972</v>
      </c>
    </row>
    <row r="39" spans="2:19">
      <c r="B39" s="377">
        <f t="shared" si="6"/>
        <v>9</v>
      </c>
      <c r="C39" s="184" t="s">
        <v>382</v>
      </c>
      <c r="D39" s="182" t="s">
        <v>67</v>
      </c>
      <c r="E39" s="201">
        <f>+Model!E181+Model!E183</f>
        <v>0</v>
      </c>
      <c r="F39" s="201">
        <f>+Model!F181+Model!F183</f>
        <v>0</v>
      </c>
      <c r="G39" s="201">
        <f>+Model!G181+Model!G183</f>
        <v>0</v>
      </c>
      <c r="H39" s="396">
        <f>+Model!O181+Model!O183</f>
        <v>-3.9705463892971937</v>
      </c>
      <c r="I39" s="201">
        <f>+Model!P181+Model!P183</f>
        <v>-6.06172391354285</v>
      </c>
      <c r="J39" s="397">
        <f>+Model!Q181+Model!Q183</f>
        <v>-5.9656113722285644</v>
      </c>
      <c r="K39" s="201">
        <f>+Model!R181+Model!R183</f>
        <v>-6.198390722824529</v>
      </c>
      <c r="L39" s="201">
        <f>+Model!S181+Model!S183</f>
        <v>-6.5188444627533553</v>
      </c>
      <c r="M39" s="201">
        <f>+Model!T181+Model!T183</f>
        <v>-6.7518076400952491</v>
      </c>
      <c r="N39" s="201">
        <f>+Model!U181+Model!U183</f>
        <v>-6.8520796371308901</v>
      </c>
      <c r="O39" s="201">
        <f>+Model!V181+Model!V183</f>
        <v>-6.8520796371308901</v>
      </c>
      <c r="P39" s="201">
        <f>+Model!W181+Model!W183</f>
        <v>-6.8520796371308901</v>
      </c>
      <c r="Q39" s="201">
        <f>+Model!X181+Model!X183</f>
        <v>-6.8520796371308901</v>
      </c>
      <c r="S39" s="201">
        <f t="shared" si="7"/>
        <v>-62.875243049265315</v>
      </c>
    </row>
    <row r="40" spans="2:19">
      <c r="B40" s="377">
        <f t="shared" si="6"/>
        <v>10</v>
      </c>
      <c r="C40" s="184" t="s">
        <v>438</v>
      </c>
      <c r="D40" s="182" t="s">
        <v>67</v>
      </c>
      <c r="E40" s="201">
        <f>+Model!E182</f>
        <v>0</v>
      </c>
      <c r="F40" s="201">
        <f>+Model!F182</f>
        <v>0</v>
      </c>
      <c r="G40" s="201">
        <f>+Model!G182</f>
        <v>0</v>
      </c>
      <c r="H40" s="396">
        <f>+Model!O182</f>
        <v>-0.94075027542857081</v>
      </c>
      <c r="I40" s="201">
        <f>+Model!P182</f>
        <v>0</v>
      </c>
      <c r="J40" s="397">
        <f>+Model!Q182</f>
        <v>0</v>
      </c>
      <c r="K40" s="201">
        <f>+Model!R182</f>
        <v>0</v>
      </c>
      <c r="L40" s="201">
        <f>+Model!S182</f>
        <v>0</v>
      </c>
      <c r="M40" s="201">
        <f>+Model!T182</f>
        <v>0</v>
      </c>
      <c r="N40" s="201">
        <f>+Model!U182</f>
        <v>0</v>
      </c>
      <c r="O40" s="201">
        <f>+Model!V182</f>
        <v>0</v>
      </c>
      <c r="P40" s="201">
        <f>+Model!W182</f>
        <v>0</v>
      </c>
      <c r="Q40" s="201">
        <f>+Model!X182</f>
        <v>0</v>
      </c>
      <c r="S40" s="201">
        <f t="shared" si="7"/>
        <v>-0.94075027542857081</v>
      </c>
    </row>
    <row r="41" spans="2:19">
      <c r="B41" s="377">
        <f t="shared" si="6"/>
        <v>11</v>
      </c>
      <c r="C41" s="385" t="s">
        <v>439</v>
      </c>
      <c r="D41" s="398" t="s">
        <v>67</v>
      </c>
      <c r="E41" s="387">
        <f t="shared" ref="E41" si="8">+SUM(E38:E40)</f>
        <v>3.5956098701110606</v>
      </c>
      <c r="F41" s="387">
        <f t="shared" ref="F41" si="9">+SUM(F38:F40)</f>
        <v>3.4715444420533679</v>
      </c>
      <c r="G41" s="387">
        <f t="shared" ref="G41" si="10">+SUM(G38:G40)</f>
        <v>4.0826363399999925</v>
      </c>
      <c r="H41" s="399">
        <f>+SUM(H38:H40)</f>
        <v>-1.7717512507547457</v>
      </c>
      <c r="I41" s="387">
        <f t="shared" ref="I41:M41" si="11">+SUM(I38:I40)</f>
        <v>0.68000888377052693</v>
      </c>
      <c r="J41" s="400">
        <f t="shared" si="11"/>
        <v>3.643495930193839</v>
      </c>
      <c r="K41" s="387">
        <f t="shared" si="11"/>
        <v>6.2489676521925919</v>
      </c>
      <c r="L41" s="387">
        <f t="shared" si="11"/>
        <v>8.7377278493687349</v>
      </c>
      <c r="M41" s="387">
        <f t="shared" si="11"/>
        <v>11.285030359577371</v>
      </c>
      <c r="N41" s="387">
        <f t="shared" ref="N41:Q41" si="12">+SUM(N38:N40)</f>
        <v>13.936167353051202</v>
      </c>
      <c r="O41" s="387">
        <f t="shared" si="12"/>
        <v>16.658813945608379</v>
      </c>
      <c r="P41" s="387">
        <f t="shared" si="12"/>
        <v>19.352795268274612</v>
      </c>
      <c r="Q41" s="387">
        <f t="shared" si="12"/>
        <v>22.01821136295333</v>
      </c>
      <c r="S41" s="387">
        <f t="shared" si="7"/>
        <v>100.78946735423585</v>
      </c>
    </row>
    <row r="42" spans="2:19">
      <c r="B42" s="377">
        <f t="shared" si="6"/>
        <v>12</v>
      </c>
      <c r="C42" s="184" t="str">
        <f>+Model!B186</f>
        <v>Taxes</v>
      </c>
      <c r="D42" s="182" t="s">
        <v>67</v>
      </c>
      <c r="E42" s="201">
        <f>+Model!E186</f>
        <v>-1.8362975721999997</v>
      </c>
      <c r="F42" s="201">
        <f>+Model!F186</f>
        <v>-1.9749607124000013</v>
      </c>
      <c r="G42" s="201">
        <f>+Model!G186</f>
        <v>-1.8357241083999989</v>
      </c>
      <c r="H42" s="396">
        <f>+Model!O186</f>
        <v>0</v>
      </c>
      <c r="I42" s="201">
        <f>+Model!P186</f>
        <v>-0.17680230978033701</v>
      </c>
      <c r="J42" s="397">
        <f>+Model!Q186</f>
        <v>-0.94730894185039816</v>
      </c>
      <c r="K42" s="201">
        <f>+Model!R186</f>
        <v>-1.624731589570074</v>
      </c>
      <c r="L42" s="201">
        <f>+Model!S186</f>
        <v>-2.2718092408358714</v>
      </c>
      <c r="M42" s="201">
        <f>+Model!T186</f>
        <v>-2.9341078934901166</v>
      </c>
      <c r="N42" s="201">
        <f>+Model!U186</f>
        <v>-3.6234035117933128</v>
      </c>
      <c r="O42" s="201">
        <f>+Model!V186</f>
        <v>-4.3312916258581797</v>
      </c>
      <c r="P42" s="201">
        <f>+Model!W186</f>
        <v>-5.0317267697513994</v>
      </c>
      <c r="Q42" s="201">
        <f>+Model!X186</f>
        <v>-5.7247349543678672</v>
      </c>
      <c r="S42" s="201">
        <f t="shared" si="7"/>
        <v>-26.665916837297559</v>
      </c>
    </row>
    <row r="43" spans="2:19">
      <c r="B43" s="377">
        <f t="shared" si="6"/>
        <v>13</v>
      </c>
      <c r="C43" s="385" t="s">
        <v>436</v>
      </c>
      <c r="D43" s="398" t="s">
        <v>67</v>
      </c>
      <c r="E43" s="387">
        <f t="shared" ref="E43" si="13">+SUM(E41:E42)</f>
        <v>1.7593122979110609</v>
      </c>
      <c r="F43" s="387">
        <f t="shared" ref="F43" si="14">+SUM(F41:F42)</f>
        <v>1.4965837296533666</v>
      </c>
      <c r="G43" s="387">
        <f t="shared" ref="G43" si="15">+SUM(G41:G42)</f>
        <v>2.2469122315999934</v>
      </c>
      <c r="H43" s="399">
        <f>+SUM(H41:H42)</f>
        <v>-1.7717512507547457</v>
      </c>
      <c r="I43" s="387">
        <f t="shared" ref="I43:M43" si="16">+SUM(I41:I42)</f>
        <v>0.50320657399018986</v>
      </c>
      <c r="J43" s="400">
        <f t="shared" si="16"/>
        <v>2.6961869883434408</v>
      </c>
      <c r="K43" s="387">
        <f t="shared" si="16"/>
        <v>4.6242360626225176</v>
      </c>
      <c r="L43" s="387">
        <f t="shared" si="16"/>
        <v>6.4659186085328635</v>
      </c>
      <c r="M43" s="387">
        <f t="shared" si="16"/>
        <v>8.3509224660872547</v>
      </c>
      <c r="N43" s="387">
        <f t="shared" ref="N43:Q43" si="17">+SUM(N41:N42)</f>
        <v>10.312763841257889</v>
      </c>
      <c r="O43" s="387">
        <f t="shared" si="17"/>
        <v>12.3275223197502</v>
      </c>
      <c r="P43" s="387">
        <f t="shared" si="17"/>
        <v>14.321068498523212</v>
      </c>
      <c r="Q43" s="387">
        <f t="shared" si="17"/>
        <v>16.293476408585462</v>
      </c>
      <c r="S43" s="387">
        <f t="shared" si="7"/>
        <v>74.12355051693828</v>
      </c>
    </row>
    <row r="44" spans="2:19">
      <c r="B44" s="377">
        <f t="shared" si="6"/>
        <v>14</v>
      </c>
      <c r="G44" s="201"/>
      <c r="H44" s="201"/>
    </row>
    <row r="45" spans="2:19">
      <c r="B45" s="377">
        <f t="shared" si="6"/>
        <v>15</v>
      </c>
      <c r="C45" s="401" t="str">
        <f>+Model!B190</f>
        <v>Gross Margin</v>
      </c>
      <c r="D45" s="182" t="s">
        <v>14</v>
      </c>
      <c r="E45" s="186">
        <f t="shared" ref="E45:F45" si="18">+E34/E32</f>
        <v>0.64457404076483815</v>
      </c>
      <c r="F45" s="186">
        <f t="shared" si="18"/>
        <v>0.6312301528432348</v>
      </c>
      <c r="G45" s="186">
        <f>+G34/G32</f>
        <v>0.64297687964034378</v>
      </c>
      <c r="H45" s="402">
        <f>+H34/H32</f>
        <v>0.64010902882040377</v>
      </c>
      <c r="I45" s="186">
        <f t="shared" ref="I45:M45" si="19">+I34/I32</f>
        <v>0.64010902882040377</v>
      </c>
      <c r="J45" s="403">
        <f t="shared" si="19"/>
        <v>0.64010902882040377</v>
      </c>
      <c r="K45" s="186">
        <f t="shared" si="19"/>
        <v>0.64010902882040377</v>
      </c>
      <c r="L45" s="186">
        <f t="shared" si="19"/>
        <v>0.64010902882040377</v>
      </c>
      <c r="M45" s="186">
        <f t="shared" si="19"/>
        <v>0.64010902882040377</v>
      </c>
      <c r="N45" s="186">
        <f t="shared" ref="N45:Q45" si="20">+N34/N32</f>
        <v>0.64010902882040377</v>
      </c>
      <c r="O45" s="186">
        <f t="shared" si="20"/>
        <v>0.64010902882040377</v>
      </c>
      <c r="P45" s="186">
        <f t="shared" si="20"/>
        <v>0.64010902882040377</v>
      </c>
      <c r="Q45" s="186">
        <f t="shared" si="20"/>
        <v>0.64010902882040377</v>
      </c>
      <c r="S45" s="186">
        <f t="shared" ref="S45" si="21">+S34/S32</f>
        <v>0.64010902882040377</v>
      </c>
    </row>
    <row r="46" spans="2:19">
      <c r="B46" s="377">
        <f t="shared" si="6"/>
        <v>16</v>
      </c>
      <c r="C46" s="401" t="str">
        <f>+Model!B191</f>
        <v>EBITDA Margin</v>
      </c>
      <c r="D46" s="182" t="s">
        <v>14</v>
      </c>
      <c r="E46" s="186">
        <f t="shared" ref="E46:F46" si="22">+E36/E32</f>
        <v>0.13290780817645356</v>
      </c>
      <c r="F46" s="186">
        <f t="shared" si="22"/>
        <v>0.10228439941914164</v>
      </c>
      <c r="G46" s="186">
        <f>+G36/G32</f>
        <v>0.10179522922311675</v>
      </c>
      <c r="H46" s="402">
        <f>+H36/H32</f>
        <v>7.3442952189910218E-2</v>
      </c>
      <c r="I46" s="186">
        <f t="shared" ref="I46:M46" si="23">+I36/I32</f>
        <v>8.8247065508247693E-2</v>
      </c>
      <c r="J46" s="403">
        <f t="shared" si="23"/>
        <v>8.8204988980249768E-2</v>
      </c>
      <c r="K46" s="186">
        <f t="shared" si="23"/>
        <v>8.8185174519285231E-2</v>
      </c>
      <c r="L46" s="186">
        <f t="shared" si="23"/>
        <v>8.817536811267343E-2</v>
      </c>
      <c r="M46" s="186">
        <f t="shared" si="23"/>
        <v>8.8170955043280361E-2</v>
      </c>
      <c r="N46" s="186">
        <f t="shared" ref="N46:Q46" si="24">+N36/N32</f>
        <v>8.8169810546869551E-2</v>
      </c>
      <c r="O46" s="186">
        <f t="shared" si="24"/>
        <v>8.8170820842281783E-2</v>
      </c>
      <c r="P46" s="186">
        <f t="shared" si="24"/>
        <v>8.8173346412136464E-2</v>
      </c>
      <c r="Q46" s="186">
        <f t="shared" si="24"/>
        <v>8.8176994403893899E-2</v>
      </c>
      <c r="S46" s="186">
        <f t="shared" ref="S46" si="25">+S36/S32</f>
        <v>8.7827283413397295E-2</v>
      </c>
    </row>
    <row r="47" spans="2:19">
      <c r="B47" s="377">
        <f t="shared" si="6"/>
        <v>17</v>
      </c>
      <c r="C47" s="401" t="str">
        <f>+Model!B192</f>
        <v>Net Margin</v>
      </c>
      <c r="D47" s="182" t="s">
        <v>14</v>
      </c>
      <c r="E47" s="186">
        <f t="shared" ref="E47:F47" si="26">+E43/E32</f>
        <v>5.8890829396531202E-2</v>
      </c>
      <c r="F47" s="186">
        <f t="shared" si="26"/>
        <v>3.8354510997332905E-2</v>
      </c>
      <c r="G47" s="186">
        <f>+G43/G32</f>
        <v>4.8920728304715701E-2</v>
      </c>
      <c r="H47" s="402">
        <f>+H43/H32</f>
        <v>-3.7451768379826778E-2</v>
      </c>
      <c r="I47" s="186">
        <f t="shared" ref="I47:M47" si="27">+I43/I32</f>
        <v>6.2334534126985827E-3</v>
      </c>
      <c r="J47" s="403">
        <f t="shared" si="27"/>
        <v>2.3611705272945382E-2</v>
      </c>
      <c r="K47" s="186">
        <f t="shared" si="27"/>
        <v>3.1309523592402647E-2</v>
      </c>
      <c r="L47" s="186">
        <f t="shared" si="27"/>
        <v>3.5675006097105992E-2</v>
      </c>
      <c r="M47" s="186">
        <f t="shared" si="27"/>
        <v>3.886999037866997E-2</v>
      </c>
      <c r="N47" s="186">
        <f t="shared" ref="N47:Q47" si="28">+N43/N32</f>
        <v>4.1502112634777703E-2</v>
      </c>
      <c r="O47" s="186">
        <f t="shared" si="28"/>
        <v>4.368637471096537E-2</v>
      </c>
      <c r="P47" s="186">
        <f t="shared" si="28"/>
        <v>4.5330196442440553E-2</v>
      </c>
      <c r="Q47" s="186">
        <f t="shared" si="28"/>
        <v>4.6589313464199568E-2</v>
      </c>
      <c r="S47" s="186">
        <f t="shared" ref="S47" si="29">+S43/S32</f>
        <v>3.7392172561766343E-2</v>
      </c>
    </row>
    <row r="49" spans="2:17">
      <c r="E49" s="404">
        <f>+E31</f>
        <v>2021</v>
      </c>
      <c r="F49" s="180">
        <f t="shared" ref="F49:Q49" si="30">+F31</f>
        <v>2022</v>
      </c>
      <c r="G49" s="180">
        <f t="shared" si="30"/>
        <v>2023</v>
      </c>
      <c r="H49" s="180">
        <f t="shared" si="30"/>
        <v>2024</v>
      </c>
      <c r="I49" s="180">
        <f t="shared" si="30"/>
        <v>2025</v>
      </c>
      <c r="J49" s="372">
        <f t="shared" si="30"/>
        <v>2026</v>
      </c>
      <c r="K49" s="180">
        <f t="shared" si="30"/>
        <v>2027</v>
      </c>
      <c r="L49" s="180">
        <f t="shared" si="30"/>
        <v>2028</v>
      </c>
      <c r="M49" s="180">
        <f t="shared" si="30"/>
        <v>2029</v>
      </c>
      <c r="N49" s="180">
        <f t="shared" si="30"/>
        <v>2030</v>
      </c>
      <c r="O49" s="180">
        <f t="shared" si="30"/>
        <v>2031</v>
      </c>
      <c r="P49" s="180">
        <f t="shared" si="30"/>
        <v>2032</v>
      </c>
      <c r="Q49" s="180">
        <f t="shared" si="30"/>
        <v>2033</v>
      </c>
    </row>
    <row r="50" spans="2:17">
      <c r="D50" s="180" t="str">
        <f>+C36</f>
        <v>EBITDA</v>
      </c>
      <c r="E50" s="201">
        <f t="shared" ref="E50:Q50" si="31">+E36</f>
        <v>3.9705051501110606</v>
      </c>
      <c r="F50" s="201">
        <f t="shared" si="31"/>
        <v>3.991112492053368</v>
      </c>
      <c r="G50" s="201">
        <f t="shared" si="31"/>
        <v>4.6754198799999926</v>
      </c>
      <c r="H50" s="201">
        <f t="shared" si="31"/>
        <v>3.474405829971019</v>
      </c>
      <c r="I50" s="201">
        <f t="shared" si="31"/>
        <v>7.1239007591890768</v>
      </c>
      <c r="J50" s="397">
        <f t="shared" si="31"/>
        <v>10.072002036550074</v>
      </c>
      <c r="K50" s="201">
        <f t="shared" si="31"/>
        <v>13.024441684564323</v>
      </c>
      <c r="L50" s="201">
        <f t="shared" si="31"/>
        <v>15.981349854351407</v>
      </c>
      <c r="M50" s="201">
        <f t="shared" si="31"/>
        <v>18.942860601564519</v>
      </c>
      <c r="N50" s="201">
        <f t="shared" si="31"/>
        <v>21.909112003526445</v>
      </c>
      <c r="O50" s="201">
        <f t="shared" si="31"/>
        <v>24.880246279879657</v>
      </c>
      <c r="P50" s="201">
        <f t="shared" si="31"/>
        <v>27.856409916855796</v>
      </c>
      <c r="Q50" s="201">
        <f t="shared" si="31"/>
        <v>30.837753795273727</v>
      </c>
    </row>
    <row r="51" spans="2:17">
      <c r="D51" s="180" t="str">
        <f>+C46</f>
        <v>EBITDA Margin</v>
      </c>
      <c r="E51" s="186">
        <f t="shared" ref="E51:Q51" si="32">+E46</f>
        <v>0.13290780817645356</v>
      </c>
      <c r="F51" s="186">
        <f t="shared" si="32"/>
        <v>0.10228439941914164</v>
      </c>
      <c r="G51" s="186">
        <f t="shared" si="32"/>
        <v>0.10179522922311675</v>
      </c>
      <c r="H51" s="186">
        <f t="shared" si="32"/>
        <v>7.3442952189910218E-2</v>
      </c>
      <c r="I51" s="186">
        <f t="shared" si="32"/>
        <v>8.8247065508247693E-2</v>
      </c>
      <c r="J51" s="403">
        <f t="shared" si="32"/>
        <v>8.8204988980249768E-2</v>
      </c>
      <c r="K51" s="186">
        <f t="shared" si="32"/>
        <v>8.8185174519285231E-2</v>
      </c>
      <c r="L51" s="186">
        <f t="shared" si="32"/>
        <v>8.817536811267343E-2</v>
      </c>
      <c r="M51" s="186">
        <f t="shared" si="32"/>
        <v>8.8170955043280361E-2</v>
      </c>
      <c r="N51" s="186">
        <f t="shared" si="32"/>
        <v>8.8169810546869551E-2</v>
      </c>
      <c r="O51" s="186">
        <f t="shared" si="32"/>
        <v>8.8170820842281783E-2</v>
      </c>
      <c r="P51" s="186">
        <f t="shared" si="32"/>
        <v>8.8173346412136464E-2</v>
      </c>
      <c r="Q51" s="186">
        <f t="shared" si="32"/>
        <v>8.8176994403893899E-2</v>
      </c>
    </row>
    <row r="61" spans="2:17">
      <c r="B61" s="377">
        <v>1</v>
      </c>
      <c r="C61" s="378" t="s">
        <v>441</v>
      </c>
      <c r="D61" s="379" t="s">
        <v>12</v>
      </c>
      <c r="E61" s="391">
        <f>+E31</f>
        <v>2021</v>
      </c>
      <c r="F61" s="391">
        <f>+F31</f>
        <v>2022</v>
      </c>
      <c r="G61" s="391">
        <f>+G31</f>
        <v>2023</v>
      </c>
      <c r="H61" s="392">
        <v>2024</v>
      </c>
      <c r="I61" s="393">
        <f>+H61+1</f>
        <v>2025</v>
      </c>
      <c r="J61" s="394">
        <f t="shared" ref="J61" si="33">+I61+1</f>
        <v>2026</v>
      </c>
      <c r="K61" s="393">
        <f t="shared" ref="K61" si="34">+J61+1</f>
        <v>2027</v>
      </c>
      <c r="L61" s="393">
        <f t="shared" ref="L61" si="35">+K61+1</f>
        <v>2028</v>
      </c>
      <c r="M61" s="393">
        <f t="shared" ref="M61" si="36">+L61+1</f>
        <v>2029</v>
      </c>
      <c r="N61" s="393">
        <f t="shared" ref="N61" si="37">+M61+1</f>
        <v>2030</v>
      </c>
      <c r="O61" s="393">
        <f t="shared" ref="O61" si="38">+N61+1</f>
        <v>2031</v>
      </c>
      <c r="P61" s="393">
        <f t="shared" ref="P61" si="39">+O61+1</f>
        <v>2032</v>
      </c>
      <c r="Q61" s="393">
        <f t="shared" ref="Q61" si="40">+P61+1</f>
        <v>2033</v>
      </c>
    </row>
    <row r="62" spans="2:17">
      <c r="B62" s="377">
        <f>+B61+1</f>
        <v>2</v>
      </c>
      <c r="C62" s="184" t="str">
        <f>+Model!B195</f>
        <v>Cash</v>
      </c>
      <c r="D62" s="182" t="s">
        <v>67</v>
      </c>
      <c r="E62" s="201">
        <f>+Model!E195</f>
        <v>4.63731647</v>
      </c>
      <c r="F62" s="201">
        <f>+Model!F195</f>
        <v>6.9645922000000002</v>
      </c>
      <c r="G62" s="201">
        <f>+Model!G195</f>
        <v>6.8370514199999999</v>
      </c>
      <c r="H62" s="396">
        <f>+Model!O195</f>
        <v>11.582779603388353</v>
      </c>
      <c r="I62" s="201">
        <f>+Model!P195</f>
        <v>1.8441754078100194</v>
      </c>
      <c r="J62" s="397">
        <f>+Model!Q195</f>
        <v>0</v>
      </c>
      <c r="K62" s="201">
        <f>+Model!R195</f>
        <v>0</v>
      </c>
      <c r="L62" s="201">
        <f>+Model!S195</f>
        <v>0</v>
      </c>
      <c r="M62" s="201">
        <f>+Model!T195</f>
        <v>0</v>
      </c>
      <c r="N62" s="201">
        <f>+Model!U195</f>
        <v>0.1259439066713206</v>
      </c>
      <c r="O62" s="201">
        <f>+Model!V195</f>
        <v>2.1802090783537569</v>
      </c>
      <c r="P62" s="201">
        <f>+Model!W195</f>
        <v>6.1748300989115776</v>
      </c>
      <c r="Q62" s="201">
        <f>+Model!X195</f>
        <v>12.121952989661199</v>
      </c>
    </row>
    <row r="63" spans="2:17">
      <c r="B63" s="377">
        <f t="shared" ref="B63:B78" si="41">+B62+1</f>
        <v>3</v>
      </c>
      <c r="C63" s="184" t="str">
        <f>+Model!B196</f>
        <v>Accounts receivable</v>
      </c>
      <c r="D63" s="182" t="s">
        <v>67</v>
      </c>
      <c r="E63" s="201">
        <f>+Model!E196</f>
        <v>7.032737E-2</v>
      </c>
      <c r="F63" s="201">
        <f>+Model!F196</f>
        <v>8.9097059999999992E-2</v>
      </c>
      <c r="G63" s="201">
        <f>+Model!G196</f>
        <v>6.1891669999999996E-2</v>
      </c>
      <c r="H63" s="396">
        <f>+Model!O196</f>
        <v>0.12277572715698741</v>
      </c>
      <c r="I63" s="201">
        <f>+Model!P196</f>
        <v>0.20950755277633812</v>
      </c>
      <c r="J63" s="397">
        <f>+Model!Q196</f>
        <v>0.29634987655013012</v>
      </c>
      <c r="K63" s="201">
        <f>+Model!R196</f>
        <v>0.38330601342299658</v>
      </c>
      <c r="L63" s="201">
        <f>+Model!S196</f>
        <v>0.47037937778790989</v>
      </c>
      <c r="M63" s="201">
        <f>+Model!T196</f>
        <v>0.55757348646963134</v>
      </c>
      <c r="N63" s="201">
        <f>+Model!U196</f>
        <v>0.64489196179766517</v>
      </c>
      <c r="O63" s="201">
        <f>+Model!V196</f>
        <v>0.73233853477140087</v>
      </c>
      <c r="P63" s="201">
        <f>+Model!W196</f>
        <v>0.81991704832020929</v>
      </c>
      <c r="Q63" s="201">
        <f>+Model!X196</f>
        <v>0.9076314606613427</v>
      </c>
    </row>
    <row r="64" spans="2:17">
      <c r="B64" s="377">
        <f t="shared" si="41"/>
        <v>4</v>
      </c>
      <c r="C64" s="184" t="str">
        <f>+Model!B197</f>
        <v>Inventory</v>
      </c>
      <c r="D64" s="182" t="s">
        <v>67</v>
      </c>
      <c r="E64" s="201">
        <f>+Model!E197</f>
        <v>0</v>
      </c>
      <c r="F64" s="201">
        <f>+Model!F197</f>
        <v>0</v>
      </c>
      <c r="G64" s="201">
        <f>+Model!G197</f>
        <v>0</v>
      </c>
      <c r="H64" s="396">
        <f>+Model!O197</f>
        <v>0</v>
      </c>
      <c r="I64" s="201">
        <f>+Model!P197</f>
        <v>0</v>
      </c>
      <c r="J64" s="397">
        <f>+Model!Q197</f>
        <v>0</v>
      </c>
      <c r="K64" s="201">
        <f>+Model!R197</f>
        <v>0</v>
      </c>
      <c r="L64" s="201">
        <f>+Model!S197</f>
        <v>0</v>
      </c>
      <c r="M64" s="201">
        <f>+Model!T197</f>
        <v>0</v>
      </c>
      <c r="N64" s="201">
        <f>+Model!U197</f>
        <v>0</v>
      </c>
      <c r="O64" s="201">
        <f>+Model!V197</f>
        <v>0</v>
      </c>
      <c r="P64" s="201">
        <f>+Model!W197</f>
        <v>0</v>
      </c>
      <c r="Q64" s="201">
        <f>+Model!X197</f>
        <v>0</v>
      </c>
    </row>
    <row r="65" spans="2:17">
      <c r="B65" s="377">
        <f t="shared" si="41"/>
        <v>5</v>
      </c>
      <c r="C65" s="184" t="str">
        <f>+Model!B198</f>
        <v>Other Assets</v>
      </c>
      <c r="D65" s="182" t="s">
        <v>67</v>
      </c>
      <c r="E65" s="201">
        <f>+Model!E198+Model!E199+Model!E200</f>
        <v>0.93378976000000069</v>
      </c>
      <c r="F65" s="201">
        <f>+Model!F198+Model!F199+Model!F200</f>
        <v>0.10004287000000105</v>
      </c>
      <c r="G65" s="201">
        <f>+Model!G198+Model!G199+Model!G200</f>
        <v>0.10728376999999956</v>
      </c>
      <c r="H65" s="396">
        <f>+Model!O198+Model!O199+Model!O200</f>
        <v>41.751994159999931</v>
      </c>
      <c r="I65" s="201">
        <f>+Model!P198+Model!P199+Model!P200</f>
        <v>54.764205387885156</v>
      </c>
      <c r="J65" s="397">
        <f>+Model!Q198+Model!Q199+Model!Q200</f>
        <v>67.776416615770387</v>
      </c>
      <c r="K65" s="201">
        <f>+Model!R198+Model!R199+Model!R200</f>
        <v>80.788627843655604</v>
      </c>
      <c r="L65" s="201">
        <f>+Model!S198+Model!S199+Model!S200</f>
        <v>93.800839071540821</v>
      </c>
      <c r="M65" s="201">
        <f>+Model!T198+Model!T199+Model!T200</f>
        <v>106.81305029942604</v>
      </c>
      <c r="N65" s="201">
        <f>+Model!U198+Model!U199+Model!U200</f>
        <v>119.82526152731126</v>
      </c>
      <c r="O65" s="201">
        <f>+Model!V198+Model!V199+Model!V200</f>
        <v>132.83747275519647</v>
      </c>
      <c r="P65" s="201">
        <f>+Model!W198+Model!W199+Model!W200</f>
        <v>145.84968398308169</v>
      </c>
      <c r="Q65" s="201">
        <f>+Model!X198+Model!X199+Model!X200</f>
        <v>158.86189521096691</v>
      </c>
    </row>
    <row r="66" spans="2:17">
      <c r="B66" s="377">
        <f>+B65+1</f>
        <v>6</v>
      </c>
      <c r="C66" s="184" t="str">
        <f>+Model!B201</f>
        <v>PP&amp;E</v>
      </c>
      <c r="D66" s="182" t="s">
        <v>67</v>
      </c>
      <c r="E66" s="201">
        <f>+Model!E201</f>
        <v>2.6456528500000003</v>
      </c>
      <c r="F66" s="201">
        <f>+Model!F201</f>
        <v>2.23182357</v>
      </c>
      <c r="G66" s="201">
        <f>+Model!G201</f>
        <v>3.3486041600000003</v>
      </c>
      <c r="H66" s="396">
        <f>+Model!O201</f>
        <v>3.4868192027570002</v>
      </c>
      <c r="I66" s="201">
        <f>+Model!P201</f>
        <v>3.9119189634010101</v>
      </c>
      <c r="J66" s="397">
        <f>+Model!Q201</f>
        <v>4.5909099834686415</v>
      </c>
      <c r="K66" s="201">
        <f>+Model!R201</f>
        <v>5.4907690007425991</v>
      </c>
      <c r="L66" s="201">
        <f>+Model!S201</f>
        <v>6.5784420551390781</v>
      </c>
      <c r="M66" s="201">
        <f>+Model!T201</f>
        <v>7.8208435677717514</v>
      </c>
      <c r="N66" s="201">
        <f>+Model!U201</f>
        <v>9.1848553923877034</v>
      </c>
      <c r="O66" s="201">
        <f>+Model!V201</f>
        <v>10.637325838346433</v>
      </c>
      <c r="P66" s="201">
        <f>+Model!W201</f>
        <v>12.145068664288226</v>
      </c>
      <c r="Q66" s="201">
        <f>+Model!X201</f>
        <v>13.674862041612572</v>
      </c>
    </row>
    <row r="67" spans="2:17">
      <c r="B67" s="377">
        <f t="shared" si="41"/>
        <v>7</v>
      </c>
      <c r="C67" s="385" t="str">
        <f>+Model!B202</f>
        <v>Assets</v>
      </c>
      <c r="D67" s="398" t="s">
        <v>67</v>
      </c>
      <c r="E67" s="387">
        <f t="shared" ref="E67:F67" si="42">+SUM(E62:E66)</f>
        <v>8.2870864500000003</v>
      </c>
      <c r="F67" s="387">
        <f t="shared" si="42"/>
        <v>9.3855557000000012</v>
      </c>
      <c r="G67" s="387">
        <f>+SUM(G62:G66)</f>
        <v>10.354831019999999</v>
      </c>
      <c r="H67" s="399">
        <f t="shared" ref="H67:Q67" si="43">+SUM(H62:H66)</f>
        <v>56.944368693302273</v>
      </c>
      <c r="I67" s="387">
        <f t="shared" si="43"/>
        <v>60.72980731187252</v>
      </c>
      <c r="J67" s="400">
        <f t="shared" si="43"/>
        <v>72.663676475789146</v>
      </c>
      <c r="K67" s="387">
        <f t="shared" si="43"/>
        <v>86.662702857821202</v>
      </c>
      <c r="L67" s="387">
        <f t="shared" si="43"/>
        <v>100.84966050446781</v>
      </c>
      <c r="M67" s="387">
        <f t="shared" si="43"/>
        <v>115.19146735366742</v>
      </c>
      <c r="N67" s="387">
        <f t="shared" si="43"/>
        <v>129.78095278816795</v>
      </c>
      <c r="O67" s="387">
        <f t="shared" si="43"/>
        <v>146.38734620666807</v>
      </c>
      <c r="P67" s="387">
        <f t="shared" si="43"/>
        <v>164.9894997946017</v>
      </c>
      <c r="Q67" s="387">
        <f t="shared" si="43"/>
        <v>185.56634170290204</v>
      </c>
    </row>
    <row r="68" spans="2:17">
      <c r="B68" s="377">
        <f t="shared" si="41"/>
        <v>8</v>
      </c>
      <c r="C68" s="184" t="str">
        <f>+Model!B203</f>
        <v>Accounts payable</v>
      </c>
      <c r="D68" s="182" t="s">
        <v>67</v>
      </c>
      <c r="E68" s="201">
        <f>+Model!E203</f>
        <v>1.1822793200000001</v>
      </c>
      <c r="F68" s="201">
        <f>+Model!F203</f>
        <v>1.3716304000000001</v>
      </c>
      <c r="G68" s="201">
        <f>+Model!G203</f>
        <v>1.4082911899999999</v>
      </c>
      <c r="H68" s="396">
        <f>+Model!O203</f>
        <v>2.1184698770856674</v>
      </c>
      <c r="I68" s="201">
        <f>+Model!P203</f>
        <v>3.557250654682655</v>
      </c>
      <c r="J68" s="397">
        <f>+Model!Q203</f>
        <v>5.0319877651273668</v>
      </c>
      <c r="K68" s="201">
        <f>+Model!R203</f>
        <v>6.5086346833492357</v>
      </c>
      <c r="L68" s="201">
        <f>+Model!S203</f>
        <v>7.9872487035815753</v>
      </c>
      <c r="M68" s="201">
        <f>+Model!T203</f>
        <v>9.4678888388847025</v>
      </c>
      <c r="N68" s="201">
        <f>+Model!U203</f>
        <v>10.950615872710738</v>
      </c>
      <c r="O68" s="201">
        <f>+Model!V203</f>
        <v>12.435492412015369</v>
      </c>
      <c r="P68" s="201">
        <f>+Model!W203</f>
        <v>13.922582941962956</v>
      </c>
      <c r="Q68" s="201">
        <f>+Model!X203</f>
        <v>15.411953882272787</v>
      </c>
    </row>
    <row r="69" spans="2:17">
      <c r="B69" s="377">
        <f t="shared" si="41"/>
        <v>9</v>
      </c>
      <c r="C69" s="184" t="s">
        <v>442</v>
      </c>
      <c r="D69" s="182" t="s">
        <v>67</v>
      </c>
      <c r="E69" s="201">
        <f>+Model!E204</f>
        <v>1.6275524400000001</v>
      </c>
      <c r="F69" s="201">
        <f>+Model!F204</f>
        <v>1.2509576599999999</v>
      </c>
      <c r="G69" s="201">
        <f>+Model!G204</f>
        <v>1.9739156899999999</v>
      </c>
      <c r="H69" s="396">
        <f>+Model!O204</f>
        <v>21.358342514285692</v>
      </c>
      <c r="I69" s="201">
        <f>+Model!P204</f>
        <v>21.358342514285692</v>
      </c>
      <c r="J69" s="397">
        <f>+Model!Q204</f>
        <v>21.358342514285692</v>
      </c>
      <c r="K69" s="201">
        <f>+Model!R204</f>
        <v>21.358342514285692</v>
      </c>
      <c r="L69" s="201">
        <f>+Model!S204</f>
        <v>21.358342514285692</v>
      </c>
      <c r="M69" s="201">
        <f>+Model!T204</f>
        <v>21.358342514285692</v>
      </c>
      <c r="N69" s="201">
        <f>+Model!U204</f>
        <v>21.358342514285692</v>
      </c>
      <c r="O69" s="201">
        <f>+Model!V204</f>
        <v>21.358342514285692</v>
      </c>
      <c r="P69" s="201">
        <f>+Model!W204</f>
        <v>21.358342514285692</v>
      </c>
      <c r="Q69" s="201">
        <f>+Model!X204</f>
        <v>21.358342514285692</v>
      </c>
    </row>
    <row r="70" spans="2:17">
      <c r="B70" s="377">
        <f t="shared" si="41"/>
        <v>10</v>
      </c>
      <c r="C70" s="184" t="s">
        <v>198</v>
      </c>
      <c r="D70" s="182" t="s">
        <v>67</v>
      </c>
      <c r="E70" s="201">
        <f>+Model!E205+Model!E206</f>
        <v>0</v>
      </c>
      <c r="F70" s="201">
        <f>+Model!F205+Model!F206</f>
        <v>0</v>
      </c>
      <c r="G70" s="201">
        <f>+Model!G205+Model!G206</f>
        <v>0</v>
      </c>
      <c r="H70" s="396">
        <f>+Model!O205+Model!O206</f>
        <v>17.205545158399971</v>
      </c>
      <c r="I70" s="201">
        <f>+Model!P205+Model!P206</f>
        <v>19.048996425371396</v>
      </c>
      <c r="J70" s="397">
        <f>+Model!Q205+Model!Q206</f>
        <v>23.615414839499675</v>
      </c>
      <c r="K70" s="201">
        <f>+Model!R205+Model!R206</f>
        <v>28.420472759346332</v>
      </c>
      <c r="L70" s="201">
        <f>+Model!S205+Model!S206</f>
        <v>32.634638541442136</v>
      </c>
      <c r="M70" s="201">
        <f>+Model!T205+Model!T206</f>
        <v>36.163961079120114</v>
      </c>
      <c r="N70" s="201">
        <f>+Model!U205+Model!U206</f>
        <v>38.957955638536717</v>
      </c>
      <c r="O70" s="201">
        <f>+Model!V205+Model!V206</f>
        <v>41.751950197953327</v>
      </c>
      <c r="P70" s="201">
        <f>+Model!W205+Model!W206</f>
        <v>44.545944757369938</v>
      </c>
      <c r="Q70" s="201">
        <f>+Model!X205+Model!X206</f>
        <v>47.339939316786541</v>
      </c>
    </row>
    <row r="71" spans="2:17">
      <c r="B71" s="377">
        <f t="shared" si="41"/>
        <v>11</v>
      </c>
      <c r="C71" s="385" t="str">
        <f>+Model!B207</f>
        <v>Liabilities</v>
      </c>
      <c r="D71" s="398" t="s">
        <v>67</v>
      </c>
      <c r="E71" s="387">
        <f t="shared" ref="E71:F71" si="44">+SUM(E68:E70)</f>
        <v>2.8098317600000002</v>
      </c>
      <c r="F71" s="387">
        <f t="shared" si="44"/>
        <v>2.62258806</v>
      </c>
      <c r="G71" s="387">
        <f>+SUM(G68:G70)</f>
        <v>3.38220688</v>
      </c>
      <c r="H71" s="399">
        <f>+SUM(H68:H70)</f>
        <v>40.682357549771332</v>
      </c>
      <c r="I71" s="387">
        <f t="shared" ref="I71:M71" si="45">+SUM(I68:I70)</f>
        <v>43.964589594339742</v>
      </c>
      <c r="J71" s="400">
        <f t="shared" si="45"/>
        <v>50.005745118912728</v>
      </c>
      <c r="K71" s="387">
        <f t="shared" si="45"/>
        <v>56.287449956981263</v>
      </c>
      <c r="L71" s="387">
        <f t="shared" si="45"/>
        <v>61.980229759309402</v>
      </c>
      <c r="M71" s="387">
        <f t="shared" si="45"/>
        <v>66.990192432290513</v>
      </c>
      <c r="N71" s="387">
        <f t="shared" ref="N71:Q71" si="46">+SUM(N68:N70)</f>
        <v>71.26691402553314</v>
      </c>
      <c r="O71" s="387">
        <f t="shared" si="46"/>
        <v>75.545785124254394</v>
      </c>
      <c r="P71" s="387">
        <f t="shared" si="46"/>
        <v>79.826870213618577</v>
      </c>
      <c r="Q71" s="387">
        <f t="shared" si="46"/>
        <v>84.11023571334502</v>
      </c>
    </row>
    <row r="72" spans="2:17">
      <c r="B72" s="377">
        <f t="shared" si="41"/>
        <v>12</v>
      </c>
      <c r="C72" s="184" t="str">
        <f>+Model!B208</f>
        <v>Common equity</v>
      </c>
      <c r="D72" s="182" t="s">
        <v>67</v>
      </c>
      <c r="E72" s="201">
        <f>+Model!E208</f>
        <v>6.9119180000000002E-2</v>
      </c>
      <c r="F72" s="201">
        <f>+Model!F208</f>
        <v>6.9119180000000002E-2</v>
      </c>
      <c r="G72" s="201">
        <f>+Model!G208</f>
        <v>6.9119180000000002E-2</v>
      </c>
      <c r="H72" s="396">
        <f>+Model!O208</f>
        <v>18.033762394285684</v>
      </c>
      <c r="I72" s="201">
        <f>+Model!P208</f>
        <v>18.033762394285684</v>
      </c>
      <c r="J72" s="397">
        <f>+Model!Q208</f>
        <v>21.230289045295901</v>
      </c>
      <c r="K72" s="201">
        <f>+Model!R208</f>
        <v>24.323374526636904</v>
      </c>
      <c r="L72" s="201">
        <f>+Model!S208</f>
        <v>26.351633762422509</v>
      </c>
      <c r="M72" s="201">
        <f>+Model!T208</f>
        <v>27.332555472553771</v>
      </c>
      <c r="N72" s="201">
        <f>+Model!U208</f>
        <v>27.332555472553771</v>
      </c>
      <c r="O72" s="201">
        <f>+Model!V208</f>
        <v>27.332555472553771</v>
      </c>
      <c r="P72" s="201">
        <f>+Model!W208</f>
        <v>27.332555472553771</v>
      </c>
      <c r="Q72" s="201">
        <f>+Model!X208</f>
        <v>27.332555472553771</v>
      </c>
    </row>
    <row r="73" spans="2:17">
      <c r="B73" s="377">
        <f t="shared" si="41"/>
        <v>13</v>
      </c>
      <c r="C73" s="184" t="str">
        <f>+Model!B209</f>
        <v>Net profit</v>
      </c>
      <c r="D73" s="182" t="s">
        <v>67</v>
      </c>
      <c r="E73" s="201">
        <f>+Model!E209</f>
        <v>3.1642332979110614</v>
      </c>
      <c r="F73" s="201">
        <f>+Model!F209</f>
        <v>2.2606397296533665</v>
      </c>
      <c r="G73" s="201">
        <f>+Model!G209</f>
        <v>2.2846392315999937</v>
      </c>
      <c r="H73" s="396">
        <f>+Output!H43</f>
        <v>-1.7717512507547457</v>
      </c>
      <c r="I73" s="201">
        <f>+Output!I43</f>
        <v>0.50320657399018986</v>
      </c>
      <c r="J73" s="397">
        <f>+Output!J43</f>
        <v>2.6961869883434408</v>
      </c>
      <c r="K73" s="201">
        <f>+Output!K43</f>
        <v>4.6242360626225176</v>
      </c>
      <c r="L73" s="201">
        <f>+Output!L43</f>
        <v>6.4659186085328635</v>
      </c>
      <c r="M73" s="201">
        <f>+Output!M43</f>
        <v>8.3509224660872547</v>
      </c>
      <c r="N73" s="201">
        <f>+Output!N43</f>
        <v>10.312763841257889</v>
      </c>
      <c r="O73" s="201">
        <f>+Output!O43</f>
        <v>12.3275223197502</v>
      </c>
      <c r="P73" s="201">
        <f>+Output!P43</f>
        <v>14.321068498523212</v>
      </c>
      <c r="Q73" s="201">
        <f>+Output!Q43</f>
        <v>16.293476408585462</v>
      </c>
    </row>
    <row r="74" spans="2:17">
      <c r="B74" s="377">
        <f t="shared" si="41"/>
        <v>14</v>
      </c>
      <c r="C74" s="184" t="str">
        <f>+Model!B210</f>
        <v>Accumulated profits</v>
      </c>
      <c r="D74" s="182" t="s">
        <v>67</v>
      </c>
      <c r="E74" s="201">
        <f>+Model!E210</f>
        <v>2.2439022120889378</v>
      </c>
      <c r="F74" s="201">
        <f>+Model!F210</f>
        <v>4.433208730346637</v>
      </c>
      <c r="G74" s="201">
        <f>+Model!G210</f>
        <v>4.6188657284000048</v>
      </c>
      <c r="H74" s="396">
        <f>+Model!O210</f>
        <v>0</v>
      </c>
      <c r="I74" s="201">
        <f>+Model!P210</f>
        <v>-1.7717512507547457</v>
      </c>
      <c r="J74" s="397">
        <f>+Model!Q210</f>
        <v>-1.2685446767645558</v>
      </c>
      <c r="K74" s="201">
        <f>+Model!R210</f>
        <v>1.427642311578885</v>
      </c>
      <c r="L74" s="201">
        <f>+Model!S210</f>
        <v>6.0518783742014026</v>
      </c>
      <c r="M74" s="201">
        <f>+Model!T210</f>
        <v>12.517796982734268</v>
      </c>
      <c r="N74" s="201">
        <f>+Model!U210</f>
        <v>20.868719448821523</v>
      </c>
      <c r="O74" s="201">
        <f>+Model!V210</f>
        <v>31.181483290079413</v>
      </c>
      <c r="P74" s="201">
        <f>+Model!W210</f>
        <v>43.509005609829615</v>
      </c>
      <c r="Q74" s="201">
        <f>+Model!X210</f>
        <v>57.830074108352825</v>
      </c>
    </row>
    <row r="75" spans="2:17">
      <c r="B75" s="377">
        <f t="shared" si="41"/>
        <v>15</v>
      </c>
      <c r="C75" s="385" t="str">
        <f>+Model!B211</f>
        <v>Equity</v>
      </c>
      <c r="D75" s="398" t="s">
        <v>67</v>
      </c>
      <c r="E75" s="387">
        <f t="shared" ref="E75:F75" si="47">+SUM(E72:E74)</f>
        <v>5.4772546899999988</v>
      </c>
      <c r="F75" s="387">
        <f t="shared" si="47"/>
        <v>6.7629676400000029</v>
      </c>
      <c r="G75" s="387">
        <f>+SUM(G72:G74)</f>
        <v>6.9726241399999989</v>
      </c>
      <c r="H75" s="399">
        <f>+SUM(H72:H74)</f>
        <v>16.262011143530938</v>
      </c>
      <c r="I75" s="387">
        <f t="shared" ref="I75:M75" si="48">+SUM(I72:I74)</f>
        <v>16.765217717521129</v>
      </c>
      <c r="J75" s="400">
        <f t="shared" si="48"/>
        <v>22.657931356874787</v>
      </c>
      <c r="K75" s="387">
        <f t="shared" si="48"/>
        <v>30.375252900838309</v>
      </c>
      <c r="L75" s="387">
        <f t="shared" si="48"/>
        <v>38.86943074515677</v>
      </c>
      <c r="M75" s="387">
        <f t="shared" si="48"/>
        <v>48.201274921375294</v>
      </c>
      <c r="N75" s="387">
        <f t="shared" ref="N75:Q75" si="49">+SUM(N72:N74)</f>
        <v>58.514038762633184</v>
      </c>
      <c r="O75" s="387">
        <f t="shared" si="49"/>
        <v>70.841561082383379</v>
      </c>
      <c r="P75" s="387">
        <f t="shared" si="49"/>
        <v>85.162629580906597</v>
      </c>
      <c r="Q75" s="387">
        <f t="shared" si="49"/>
        <v>101.45610598949206</v>
      </c>
    </row>
    <row r="76" spans="2:17">
      <c r="B76" s="377">
        <f t="shared" si="41"/>
        <v>16</v>
      </c>
      <c r="C76" s="184"/>
    </row>
    <row r="77" spans="2:17">
      <c r="B77" s="377">
        <f t="shared" si="41"/>
        <v>17</v>
      </c>
      <c r="C77" s="184" t="str">
        <f>+Model!B213</f>
        <v>Accounting check</v>
      </c>
      <c r="D77" s="182" t="s">
        <v>7</v>
      </c>
      <c r="E77" s="405">
        <f t="shared" ref="E77" si="50">ROUND(+(E67)-(E75+E71),6)</f>
        <v>0</v>
      </c>
      <c r="F77" s="405">
        <f t="shared" ref="F77:G77" si="51">ROUND(+(F67)-(F75+F71),6)</f>
        <v>0</v>
      </c>
      <c r="G77" s="405">
        <f t="shared" si="51"/>
        <v>0</v>
      </c>
      <c r="H77" s="405">
        <f t="shared" ref="H77:Q77" si="52">ROUND(+(H67)-(H75+H71),6)</f>
        <v>0</v>
      </c>
      <c r="I77" s="405">
        <f t="shared" si="52"/>
        <v>0</v>
      </c>
      <c r="J77" s="406">
        <f t="shared" si="52"/>
        <v>0</v>
      </c>
      <c r="K77" s="405">
        <f t="shared" si="52"/>
        <v>0</v>
      </c>
      <c r="L77" s="405">
        <f t="shared" si="52"/>
        <v>0</v>
      </c>
      <c r="M77" s="405">
        <f t="shared" si="52"/>
        <v>0</v>
      </c>
      <c r="N77" s="405">
        <f t="shared" si="52"/>
        <v>0</v>
      </c>
      <c r="O77" s="405">
        <f t="shared" si="52"/>
        <v>0</v>
      </c>
      <c r="P77" s="405">
        <f t="shared" si="52"/>
        <v>0</v>
      </c>
      <c r="Q77" s="405">
        <f t="shared" si="52"/>
        <v>0</v>
      </c>
    </row>
    <row r="78" spans="2:17">
      <c r="B78" s="377">
        <f t="shared" si="41"/>
        <v>18</v>
      </c>
      <c r="C78" s="184" t="s">
        <v>444</v>
      </c>
      <c r="D78" s="182" t="s">
        <v>113</v>
      </c>
      <c r="E78" s="407">
        <f t="shared" ref="E78" si="53">+E69/E36</f>
        <v>0.4099106734452857</v>
      </c>
      <c r="F78" s="407">
        <f t="shared" ref="F78:G78" si="54">+F69/F36</f>
        <v>0.31343583085938043</v>
      </c>
      <c r="G78" s="407">
        <f t="shared" si="54"/>
        <v>0.42219003654491094</v>
      </c>
      <c r="H78" s="407">
        <f t="shared" ref="H78:Q78" si="55">+H69/H36</f>
        <v>6.1473367129549885</v>
      </c>
      <c r="I78" s="407">
        <f t="shared" si="55"/>
        <v>2.9981246561774029</v>
      </c>
      <c r="J78" s="408">
        <f t="shared" si="55"/>
        <v>2.120565746192153</v>
      </c>
      <c r="K78" s="407">
        <f t="shared" si="55"/>
        <v>1.639866263104248</v>
      </c>
      <c r="L78" s="407">
        <f t="shared" si="55"/>
        <v>1.336454223763222</v>
      </c>
      <c r="M78" s="407">
        <f t="shared" si="55"/>
        <v>1.1275141048401991</v>
      </c>
      <c r="N78" s="407">
        <f t="shared" si="55"/>
        <v>0.97486116784869681</v>
      </c>
      <c r="O78" s="407">
        <f t="shared" si="55"/>
        <v>0.85844578361581236</v>
      </c>
      <c r="P78" s="407">
        <f t="shared" si="55"/>
        <v>0.7667299044648912</v>
      </c>
      <c r="Q78" s="407">
        <f t="shared" si="55"/>
        <v>0.69260370440985641</v>
      </c>
    </row>
    <row r="79" spans="2:17">
      <c r="B79" s="377"/>
      <c r="C79" s="184"/>
      <c r="D79" s="182"/>
      <c r="E79" s="407"/>
      <c r="F79" s="407"/>
      <c r="G79" s="407"/>
      <c r="H79" s="407"/>
      <c r="I79" s="407"/>
      <c r="J79" s="408"/>
    </row>
    <row r="80" spans="2:17">
      <c r="B80" s="377"/>
      <c r="C80" s="184"/>
      <c r="D80" s="182"/>
      <c r="E80" s="240">
        <f>+E61</f>
        <v>2021</v>
      </c>
      <c r="F80" s="240">
        <f>+F61</f>
        <v>2022</v>
      </c>
      <c r="G80" s="240">
        <f>+G61</f>
        <v>2023</v>
      </c>
      <c r="H80" s="240">
        <f>+H61</f>
        <v>2024</v>
      </c>
      <c r="I80" s="240">
        <f>+H80+1</f>
        <v>2025</v>
      </c>
      <c r="J80" s="258">
        <f t="shared" ref="J80:M80" si="56">+I80+1</f>
        <v>2026</v>
      </c>
      <c r="K80" s="240">
        <f t="shared" si="56"/>
        <v>2027</v>
      </c>
      <c r="L80" s="240">
        <f t="shared" si="56"/>
        <v>2028</v>
      </c>
      <c r="M80" s="240">
        <f t="shared" si="56"/>
        <v>2029</v>
      </c>
      <c r="N80" s="240">
        <f t="shared" ref="N80" si="57">+M80+1</f>
        <v>2030</v>
      </c>
      <c r="O80" s="240">
        <f t="shared" ref="O80" si="58">+N80+1</f>
        <v>2031</v>
      </c>
      <c r="P80" s="240">
        <f t="shared" ref="P80" si="59">+O80+1</f>
        <v>2032</v>
      </c>
      <c r="Q80" s="240">
        <f t="shared" ref="Q80" si="60">+P80+1</f>
        <v>2033</v>
      </c>
    </row>
    <row r="81" spans="2:17">
      <c r="B81" s="377"/>
      <c r="C81" s="184"/>
      <c r="D81" s="182" t="str">
        <f>+C69</f>
        <v>Financial debt</v>
      </c>
      <c r="E81" s="405">
        <f t="shared" ref="E81:Q81" si="61">+E69</f>
        <v>1.6275524400000001</v>
      </c>
      <c r="F81" s="405">
        <f t="shared" si="61"/>
        <v>1.2509576599999999</v>
      </c>
      <c r="G81" s="405">
        <f t="shared" si="61"/>
        <v>1.9739156899999999</v>
      </c>
      <c r="H81" s="405">
        <f t="shared" si="61"/>
        <v>21.358342514285692</v>
      </c>
      <c r="I81" s="405">
        <f t="shared" si="61"/>
        <v>21.358342514285692</v>
      </c>
      <c r="J81" s="406">
        <f t="shared" si="61"/>
        <v>21.358342514285692</v>
      </c>
      <c r="K81" s="405">
        <f t="shared" si="61"/>
        <v>21.358342514285692</v>
      </c>
      <c r="L81" s="405">
        <f t="shared" si="61"/>
        <v>21.358342514285692</v>
      </c>
      <c r="M81" s="405">
        <f t="shared" si="61"/>
        <v>21.358342514285692</v>
      </c>
      <c r="N81" s="405">
        <f t="shared" si="61"/>
        <v>21.358342514285692</v>
      </c>
      <c r="O81" s="405">
        <f t="shared" si="61"/>
        <v>21.358342514285692</v>
      </c>
      <c r="P81" s="405">
        <f t="shared" si="61"/>
        <v>21.358342514285692</v>
      </c>
      <c r="Q81" s="405">
        <f t="shared" si="61"/>
        <v>21.358342514285692</v>
      </c>
    </row>
    <row r="82" spans="2:17">
      <c r="B82" s="377"/>
      <c r="C82" s="184"/>
      <c r="D82" s="182" t="str">
        <f>+C78</f>
        <v>Debt / EBITDA</v>
      </c>
      <c r="E82" s="407">
        <f t="shared" ref="E82:Q82" si="62">+E78</f>
        <v>0.4099106734452857</v>
      </c>
      <c r="F82" s="407">
        <f t="shared" si="62"/>
        <v>0.31343583085938043</v>
      </c>
      <c r="G82" s="407">
        <f t="shared" si="62"/>
        <v>0.42219003654491094</v>
      </c>
      <c r="H82" s="407">
        <f t="shared" si="62"/>
        <v>6.1473367129549885</v>
      </c>
      <c r="I82" s="407">
        <f t="shared" si="62"/>
        <v>2.9981246561774029</v>
      </c>
      <c r="J82" s="408">
        <f t="shared" si="62"/>
        <v>2.120565746192153</v>
      </c>
      <c r="K82" s="407">
        <f t="shared" si="62"/>
        <v>1.639866263104248</v>
      </c>
      <c r="L82" s="407">
        <f t="shared" si="62"/>
        <v>1.336454223763222</v>
      </c>
      <c r="M82" s="407">
        <f t="shared" si="62"/>
        <v>1.1275141048401991</v>
      </c>
      <c r="N82" s="407">
        <f t="shared" si="62"/>
        <v>0.97486116784869681</v>
      </c>
      <c r="O82" s="407">
        <f t="shared" si="62"/>
        <v>0.85844578361581236</v>
      </c>
      <c r="P82" s="407">
        <f t="shared" si="62"/>
        <v>0.7667299044648912</v>
      </c>
      <c r="Q82" s="407">
        <f t="shared" si="62"/>
        <v>0.69260370440985641</v>
      </c>
    </row>
    <row r="83" spans="2:17">
      <c r="B83" s="377"/>
      <c r="C83" s="184"/>
      <c r="D83" s="182"/>
      <c r="E83" s="407"/>
      <c r="F83" s="407"/>
      <c r="G83" s="407"/>
      <c r="H83" s="407"/>
      <c r="I83" s="407"/>
      <c r="J83" s="408"/>
    </row>
    <row r="84" spans="2:17">
      <c r="B84" s="377"/>
      <c r="C84" s="184"/>
      <c r="D84" s="182"/>
      <c r="E84" s="407"/>
      <c r="F84" s="407"/>
      <c r="G84" s="407"/>
      <c r="H84" s="407"/>
      <c r="I84" s="407"/>
      <c r="J84" s="408"/>
    </row>
    <row r="85" spans="2:17">
      <c r="B85" s="377"/>
      <c r="C85" s="184"/>
      <c r="D85" s="182"/>
      <c r="E85" s="407"/>
      <c r="F85" s="407"/>
      <c r="G85" s="407"/>
      <c r="H85" s="407"/>
      <c r="I85" s="407"/>
      <c r="J85" s="408"/>
    </row>
    <row r="86" spans="2:17">
      <c r="B86" s="377"/>
      <c r="C86" s="184"/>
      <c r="D86" s="182"/>
      <c r="E86" s="407"/>
      <c r="F86" s="407"/>
      <c r="G86" s="407"/>
      <c r="H86" s="407"/>
      <c r="I86" s="407"/>
      <c r="J86" s="408"/>
    </row>
    <row r="87" spans="2:17">
      <c r="B87" s="377"/>
      <c r="C87" s="184"/>
      <c r="D87" s="182"/>
      <c r="E87" s="407"/>
      <c r="F87" s="407"/>
      <c r="G87" s="407"/>
      <c r="H87" s="407"/>
      <c r="I87" s="407"/>
      <c r="J87" s="408"/>
    </row>
    <row r="88" spans="2:17">
      <c r="B88" s="377"/>
      <c r="C88" s="184"/>
      <c r="D88" s="182"/>
      <c r="E88" s="407"/>
      <c r="F88" s="407"/>
      <c r="G88" s="407"/>
      <c r="H88" s="407"/>
      <c r="I88" s="407"/>
      <c r="J88" s="408"/>
    </row>
    <row r="89" spans="2:17">
      <c r="B89" s="377"/>
      <c r="C89" s="184"/>
      <c r="D89" s="182"/>
      <c r="E89" s="407"/>
      <c r="F89" s="407"/>
      <c r="G89" s="407"/>
      <c r="H89" s="407"/>
      <c r="I89" s="407"/>
      <c r="J89" s="408"/>
    </row>
    <row r="90" spans="2:17">
      <c r="B90" s="377"/>
      <c r="C90" s="184"/>
      <c r="D90" s="182"/>
      <c r="E90" s="407"/>
      <c r="F90" s="407"/>
      <c r="G90" s="407"/>
      <c r="H90" s="407"/>
      <c r="I90" s="407"/>
      <c r="J90" s="408"/>
    </row>
    <row r="91" spans="2:17">
      <c r="B91" s="377">
        <v>1</v>
      </c>
      <c r="C91" s="378" t="s">
        <v>445</v>
      </c>
      <c r="D91" s="379" t="s">
        <v>12</v>
      </c>
      <c r="E91" s="392">
        <v>2024</v>
      </c>
      <c r="F91" s="393">
        <f>+E91+1</f>
        <v>2025</v>
      </c>
      <c r="G91" s="393">
        <f t="shared" ref="G91" si="63">+F91+1</f>
        <v>2026</v>
      </c>
      <c r="H91" s="393">
        <f t="shared" ref="H91" si="64">+G91+1</f>
        <v>2027</v>
      </c>
      <c r="I91" s="393">
        <f t="shared" ref="I91" si="65">+H91+1</f>
        <v>2028</v>
      </c>
      <c r="J91" s="394">
        <f t="shared" ref="J91" si="66">+I91+1</f>
        <v>2029</v>
      </c>
      <c r="K91" s="393">
        <f t="shared" ref="K91" si="67">+J91+1</f>
        <v>2030</v>
      </c>
      <c r="L91" s="393">
        <f t="shared" ref="L91" si="68">+K91+1</f>
        <v>2031</v>
      </c>
      <c r="M91" s="393">
        <f t="shared" ref="M91" si="69">+L91+1</f>
        <v>2032</v>
      </c>
      <c r="N91" s="393">
        <f t="shared" ref="N91" si="70">+M91+1</f>
        <v>2033</v>
      </c>
      <c r="P91" s="395" t="s">
        <v>411</v>
      </c>
    </row>
    <row r="92" spans="2:17">
      <c r="B92" s="377">
        <f>+B91+1</f>
        <v>2</v>
      </c>
      <c r="C92" s="184" t="str">
        <f>+C32</f>
        <v>Revenue</v>
      </c>
      <c r="D92" s="182" t="s">
        <v>67</v>
      </c>
      <c r="E92" s="396">
        <f t="shared" ref="E92:N93" si="71">+H32</f>
        <v>47.307545875699994</v>
      </c>
      <c r="F92" s="201">
        <f t="shared" si="71"/>
        <v>80.726772251970999</v>
      </c>
      <c r="G92" s="201">
        <f t="shared" si="71"/>
        <v>114.18857541953012</v>
      </c>
      <c r="H92" s="201">
        <f t="shared" si="71"/>
        <v>147.69423268211602</v>
      </c>
      <c r="I92" s="201">
        <f t="shared" si="71"/>
        <v>181.24505966257951</v>
      </c>
      <c r="J92" s="397">
        <f t="shared" si="71"/>
        <v>214.8424114524569</v>
      </c>
      <c r="K92" s="201">
        <f t="shared" si="71"/>
        <v>248.48768379603061</v>
      </c>
      <c r="L92" s="201">
        <f t="shared" si="71"/>
        <v>282.18231430991153</v>
      </c>
      <c r="M92" s="201">
        <f t="shared" si="71"/>
        <v>315.92778373920885</v>
      </c>
      <c r="N92" s="201">
        <f t="shared" si="71"/>
        <v>349.72561725138513</v>
      </c>
      <c r="P92" s="201">
        <f t="shared" ref="P92:P105" si="72">+SUM(E92:N92)</f>
        <v>1982.3279964408896</v>
      </c>
    </row>
    <row r="93" spans="2:17">
      <c r="B93" s="377">
        <f t="shared" ref="B93:B110" si="73">+B92+1</f>
        <v>3</v>
      </c>
      <c r="C93" s="184" t="str">
        <f>+C33</f>
        <v>Costs</v>
      </c>
      <c r="D93" s="182" t="s">
        <v>67</v>
      </c>
      <c r="E93" s="396">
        <f t="shared" si="71"/>
        <v>-17.025558629328973</v>
      </c>
      <c r="F93" s="201">
        <f t="shared" si="71"/>
        <v>-29.05283646595592</v>
      </c>
      <c r="G93" s="201">
        <f t="shared" si="71"/>
        <v>-41.095437305349265</v>
      </c>
      <c r="H93" s="201">
        <f t="shared" si="71"/>
        <v>-53.153820837591994</v>
      </c>
      <c r="I93" s="201">
        <f t="shared" si="71"/>
        <v>-65.228460543469595</v>
      </c>
      <c r="J93" s="397">
        <f t="shared" si="71"/>
        <v>-77.31984410819112</v>
      </c>
      <c r="K93" s="201">
        <f t="shared" si="71"/>
        <v>-89.428473847521872</v>
      </c>
      <c r="L93" s="201">
        <f t="shared" si="71"/>
        <v>-101.55486714670013</v>
      </c>
      <c r="M93" s="201">
        <f t="shared" si="71"/>
        <v>-113.69955691252133</v>
      </c>
      <c r="N93" s="201">
        <f t="shared" si="71"/>
        <v>-125.86309203898475</v>
      </c>
      <c r="P93" s="201">
        <f t="shared" si="72"/>
        <v>-713.42194783561501</v>
      </c>
    </row>
    <row r="94" spans="2:17">
      <c r="B94" s="377">
        <f t="shared" si="73"/>
        <v>4</v>
      </c>
      <c r="C94" s="184" t="str">
        <f>+C35</f>
        <v>SG&amp;A</v>
      </c>
      <c r="D94" s="182" t="s">
        <v>67</v>
      </c>
      <c r="E94" s="396">
        <f t="shared" ref="E94:N94" si="74">+H35</f>
        <v>-26.807581416400001</v>
      </c>
      <c r="F94" s="201">
        <f t="shared" si="74"/>
        <v>-44.550035026826002</v>
      </c>
      <c r="G94" s="201">
        <f t="shared" si="74"/>
        <v>-63.021136077630786</v>
      </c>
      <c r="H94" s="201">
        <f t="shared" si="74"/>
        <v>-81.515970159959707</v>
      </c>
      <c r="I94" s="201">
        <f t="shared" si="74"/>
        <v>-100.03524926475851</v>
      </c>
      <c r="J94" s="397">
        <f t="shared" si="74"/>
        <v>-118.57970674270126</v>
      </c>
      <c r="K94" s="201">
        <f t="shared" si="74"/>
        <v>-137.15009794498229</v>
      </c>
      <c r="L94" s="201">
        <f t="shared" si="74"/>
        <v>-155.74720088333174</v>
      </c>
      <c r="M94" s="201">
        <f t="shared" si="74"/>
        <v>-174.37181690983172</v>
      </c>
      <c r="N94" s="201">
        <f t="shared" si="74"/>
        <v>-193.02477141712666</v>
      </c>
      <c r="P94" s="201">
        <f t="shared" si="72"/>
        <v>-1094.8035658435488</v>
      </c>
    </row>
    <row r="95" spans="2:17">
      <c r="B95" s="377">
        <f t="shared" si="73"/>
        <v>5</v>
      </c>
      <c r="C95" s="385" t="str">
        <f>+C36</f>
        <v>EBITDA</v>
      </c>
      <c r="D95" s="398" t="s">
        <v>67</v>
      </c>
      <c r="E95" s="399">
        <f>+SUM(E92:E94)</f>
        <v>3.474405829971019</v>
      </c>
      <c r="F95" s="387">
        <f t="shared" ref="F95:J95" si="75">+SUM(F92:F94)</f>
        <v>7.1239007591890768</v>
      </c>
      <c r="G95" s="387">
        <f t="shared" si="75"/>
        <v>10.072002036550074</v>
      </c>
      <c r="H95" s="387">
        <f t="shared" si="75"/>
        <v>13.024441684564323</v>
      </c>
      <c r="I95" s="387">
        <f t="shared" si="75"/>
        <v>15.981349854351407</v>
      </c>
      <c r="J95" s="400">
        <f t="shared" si="75"/>
        <v>18.942860601564519</v>
      </c>
      <c r="K95" s="387">
        <f t="shared" ref="K95:N95" si="76">+SUM(K92:K94)</f>
        <v>21.909112003526445</v>
      </c>
      <c r="L95" s="387">
        <f t="shared" si="76"/>
        <v>24.880246279879657</v>
      </c>
      <c r="M95" s="387">
        <f t="shared" si="76"/>
        <v>27.856409916855796</v>
      </c>
      <c r="N95" s="387">
        <f t="shared" si="76"/>
        <v>30.837753795273727</v>
      </c>
      <c r="P95" s="387">
        <f t="shared" si="72"/>
        <v>174.10248276172604</v>
      </c>
    </row>
    <row r="96" spans="2:17">
      <c r="B96" s="377">
        <f t="shared" si="73"/>
        <v>6</v>
      </c>
      <c r="C96" s="184" t="str">
        <f>+Model!B240</f>
        <v>Investment in working capital</v>
      </c>
      <c r="D96" s="182" t="s">
        <v>67</v>
      </c>
      <c r="E96" s="396">
        <f>+Model!O240</f>
        <v>0.64929462992868014</v>
      </c>
      <c r="F96" s="201">
        <f>+Model!P240</f>
        <v>1.3520489519776371</v>
      </c>
      <c r="G96" s="201">
        <f>+Model!Q240</f>
        <v>1.3878947866709193</v>
      </c>
      <c r="H96" s="201">
        <f>+Model!R240</f>
        <v>1.3896907813490031</v>
      </c>
      <c r="I96" s="201">
        <f>+Model!S240</f>
        <v>1.3915406558674261</v>
      </c>
      <c r="J96" s="397">
        <f>+Model!T240</f>
        <v>1.3934460266214064</v>
      </c>
      <c r="K96" s="201">
        <f>+Model!U240</f>
        <v>1.3954085584980014</v>
      </c>
      <c r="L96" s="201">
        <f>+Model!V240</f>
        <v>1.3974299663308951</v>
      </c>
      <c r="M96" s="201">
        <f>+Model!W240</f>
        <v>1.3995120163987789</v>
      </c>
      <c r="N96" s="201">
        <f>+Model!X240</f>
        <v>1.4016565279686972</v>
      </c>
      <c r="P96" s="201">
        <f t="shared" si="72"/>
        <v>13.157922901611446</v>
      </c>
    </row>
    <row r="97" spans="2:16">
      <c r="B97" s="377">
        <f t="shared" si="73"/>
        <v>7</v>
      </c>
      <c r="C97" s="184" t="str">
        <f>+Model!B241</f>
        <v>Operational taxes</v>
      </c>
      <c r="D97" s="182" t="s">
        <v>67</v>
      </c>
      <c r="E97" s="396">
        <f>+Model!O241</f>
        <v>0</v>
      </c>
      <c r="F97" s="201">
        <f>+Model!P241</f>
        <v>-0.17680230978033701</v>
      </c>
      <c r="G97" s="201">
        <f>+Model!Q241</f>
        <v>-0.94730894185039816</v>
      </c>
      <c r="H97" s="201">
        <f>+Model!R241</f>
        <v>-1.624731589570074</v>
      </c>
      <c r="I97" s="201">
        <f>+Model!S241</f>
        <v>-2.2718092408358714</v>
      </c>
      <c r="J97" s="397">
        <f>+Model!T241</f>
        <v>-2.9341078934901166</v>
      </c>
      <c r="K97" s="201">
        <f>+Model!U241</f>
        <v>-3.6234035117933128</v>
      </c>
      <c r="L97" s="201">
        <f>+Model!V241</f>
        <v>-4.3312916258581797</v>
      </c>
      <c r="M97" s="201">
        <f>+Model!W241</f>
        <v>-5.0317267697513994</v>
      </c>
      <c r="N97" s="201">
        <f>+Model!X241</f>
        <v>-5.7247349543678672</v>
      </c>
      <c r="P97" s="201">
        <f t="shared" si="72"/>
        <v>-26.665916837297559</v>
      </c>
    </row>
    <row r="98" spans="2:16">
      <c r="B98" s="377">
        <f t="shared" si="73"/>
        <v>8</v>
      </c>
      <c r="C98" s="184" t="str">
        <f>+Model!B242</f>
        <v>CAPEX</v>
      </c>
      <c r="D98" s="182" t="s">
        <v>67</v>
      </c>
      <c r="E98" s="396">
        <f>+Model!O242</f>
        <v>-0.47307545875699997</v>
      </c>
      <c r="F98" s="201">
        <f>+Model!P242</f>
        <v>-13.819478950404934</v>
      </c>
      <c r="G98" s="201">
        <f>+Model!Q242</f>
        <v>-14.154096982080526</v>
      </c>
      <c r="H98" s="201">
        <f>+Model!R242</f>
        <v>-14.489153554706384</v>
      </c>
      <c r="I98" s="201">
        <f>+Model!S242</f>
        <v>-14.824661824511018</v>
      </c>
      <c r="J98" s="397">
        <f>+Model!T242</f>
        <v>-15.160635342409794</v>
      </c>
      <c r="K98" s="201">
        <f>+Model!U242</f>
        <v>-15.497088065845531</v>
      </c>
      <c r="L98" s="201">
        <f>+Model!V242</f>
        <v>-15.834034370984339</v>
      </c>
      <c r="M98" s="201">
        <f>+Model!W242</f>
        <v>-16.171489065277314</v>
      </c>
      <c r="N98" s="201">
        <f>+Model!X242</f>
        <v>-16.509467400399075</v>
      </c>
      <c r="P98" s="201">
        <f t="shared" si="72"/>
        <v>-136.93318101537591</v>
      </c>
    </row>
    <row r="99" spans="2:16">
      <c r="B99" s="377">
        <f t="shared" si="73"/>
        <v>9</v>
      </c>
      <c r="C99" s="385" t="str">
        <f>+Model!B243</f>
        <v>Operating free cash flow</v>
      </c>
      <c r="D99" s="398" t="s">
        <v>67</v>
      </c>
      <c r="E99" s="399">
        <f>+Model!O243</f>
        <v>3.6506250011426991</v>
      </c>
      <c r="F99" s="387">
        <f>+Model!P243</f>
        <v>-5.5203315490185574</v>
      </c>
      <c r="G99" s="387">
        <f>+Model!Q243</f>
        <v>-3.6415091007099303</v>
      </c>
      <c r="H99" s="387">
        <f>+Model!R243</f>
        <v>-1.6997526783631312</v>
      </c>
      <c r="I99" s="387">
        <f>+Model!S243</f>
        <v>0.27641944487194436</v>
      </c>
      <c r="J99" s="400">
        <f>+Model!T243</f>
        <v>2.2415633922860145</v>
      </c>
      <c r="K99" s="387">
        <f>+Model!U243</f>
        <v>4.184028984385602</v>
      </c>
      <c r="L99" s="387">
        <f>+Model!V243</f>
        <v>6.1123502493680366</v>
      </c>
      <c r="M99" s="387">
        <f>+Model!W243</f>
        <v>8.0527060982258618</v>
      </c>
      <c r="N99" s="387">
        <f>+Model!X243</f>
        <v>10.005207968475482</v>
      </c>
      <c r="P99" s="387">
        <f t="shared" si="72"/>
        <v>23.66130781066402</v>
      </c>
    </row>
    <row r="100" spans="2:16">
      <c r="B100" s="377">
        <f t="shared" si="73"/>
        <v>10</v>
      </c>
      <c r="C100" s="184" t="str">
        <f>+C39</f>
        <v>Interests</v>
      </c>
      <c r="D100" s="182" t="s">
        <v>67</v>
      </c>
      <c r="E100" s="396">
        <f t="shared" ref="E100:N101" si="77">+H39</f>
        <v>-3.9705463892971937</v>
      </c>
      <c r="F100" s="201">
        <f t="shared" si="77"/>
        <v>-6.06172391354285</v>
      </c>
      <c r="G100" s="201">
        <f t="shared" si="77"/>
        <v>-5.9656113722285644</v>
      </c>
      <c r="H100" s="201">
        <f t="shared" si="77"/>
        <v>-6.198390722824529</v>
      </c>
      <c r="I100" s="201">
        <f t="shared" si="77"/>
        <v>-6.5188444627533553</v>
      </c>
      <c r="J100" s="397">
        <f t="shared" si="77"/>
        <v>-6.7518076400952491</v>
      </c>
      <c r="K100" s="201">
        <f t="shared" si="77"/>
        <v>-6.8520796371308901</v>
      </c>
      <c r="L100" s="201">
        <f t="shared" si="77"/>
        <v>-6.8520796371308901</v>
      </c>
      <c r="M100" s="201">
        <f t="shared" si="77"/>
        <v>-6.8520796371308901</v>
      </c>
      <c r="N100" s="201">
        <f t="shared" si="77"/>
        <v>-6.8520796371308901</v>
      </c>
      <c r="P100" s="201">
        <f t="shared" si="72"/>
        <v>-62.875243049265315</v>
      </c>
    </row>
    <row r="101" spans="2:16">
      <c r="B101" s="377">
        <f t="shared" si="73"/>
        <v>11</v>
      </c>
      <c r="C101" s="184" t="str">
        <f>+C40</f>
        <v>Debt related expenses</v>
      </c>
      <c r="D101" s="182" t="s">
        <v>67</v>
      </c>
      <c r="E101" s="396">
        <f t="shared" si="77"/>
        <v>-0.94075027542857081</v>
      </c>
      <c r="F101" s="201">
        <f t="shared" si="77"/>
        <v>0</v>
      </c>
      <c r="G101" s="201">
        <f t="shared" si="77"/>
        <v>0</v>
      </c>
      <c r="H101" s="201">
        <f t="shared" si="77"/>
        <v>0</v>
      </c>
      <c r="I101" s="201">
        <f t="shared" si="77"/>
        <v>0</v>
      </c>
      <c r="J101" s="397">
        <f t="shared" si="77"/>
        <v>0</v>
      </c>
      <c r="K101" s="201">
        <f t="shared" si="77"/>
        <v>0</v>
      </c>
      <c r="L101" s="201">
        <f t="shared" si="77"/>
        <v>0</v>
      </c>
      <c r="M101" s="201">
        <f t="shared" si="77"/>
        <v>0</v>
      </c>
      <c r="N101" s="201">
        <f t="shared" si="77"/>
        <v>0</v>
      </c>
      <c r="P101" s="201">
        <f t="shared" si="72"/>
        <v>-0.94075027542857081</v>
      </c>
    </row>
    <row r="102" spans="2:16">
      <c r="B102" s="377">
        <f t="shared" si="73"/>
        <v>12</v>
      </c>
      <c r="C102" s="184" t="s">
        <v>446</v>
      </c>
      <c r="D102" s="182" t="s">
        <v>67</v>
      </c>
      <c r="E102" s="396">
        <f>+Model!O250</f>
        <v>0</v>
      </c>
      <c r="F102" s="201">
        <f>+Model!P250</f>
        <v>0</v>
      </c>
      <c r="G102" s="201">
        <f>+Model!Q250</f>
        <v>0</v>
      </c>
      <c r="H102" s="201">
        <f>+Model!R250</f>
        <v>0</v>
      </c>
      <c r="I102" s="201">
        <f>+Model!S250</f>
        <v>0</v>
      </c>
      <c r="J102" s="397">
        <f>+Model!T250</f>
        <v>0</v>
      </c>
      <c r="K102" s="201">
        <f>+Model!U250</f>
        <v>0</v>
      </c>
      <c r="L102" s="201">
        <f>+Model!V250</f>
        <v>0</v>
      </c>
      <c r="M102" s="201">
        <f>+Model!W250</f>
        <v>0</v>
      </c>
      <c r="N102" s="201">
        <f>+Model!X250</f>
        <v>0</v>
      </c>
      <c r="P102" s="201">
        <f t="shared" si="72"/>
        <v>0</v>
      </c>
    </row>
    <row r="103" spans="2:16">
      <c r="B103" s="377">
        <f t="shared" si="73"/>
        <v>13</v>
      </c>
      <c r="C103" s="184" t="s">
        <v>447</v>
      </c>
      <c r="D103" s="182" t="s">
        <v>67</v>
      </c>
      <c r="E103" s="396">
        <f>+Model!O251+Model!O252</f>
        <v>1.8434512669714254</v>
      </c>
      <c r="F103" s="201">
        <f>+Model!P251+Model!P252</f>
        <v>1.8434512669714254</v>
      </c>
      <c r="G103" s="201">
        <f>+Model!Q251+Model!Q252</f>
        <v>4.566418414128278</v>
      </c>
      <c r="H103" s="201">
        <f>+Model!R251+Model!R252</f>
        <v>4.8050579198466572</v>
      </c>
      <c r="I103" s="201">
        <f>+Model!S251+Model!S252</f>
        <v>4.2141657820958072</v>
      </c>
      <c r="J103" s="397">
        <f>+Model!T251+Model!T252</f>
        <v>3.529322537677972</v>
      </c>
      <c r="K103" s="201">
        <f>+Model!U251+Model!U252</f>
        <v>2.7939945594166087</v>
      </c>
      <c r="L103" s="201">
        <f>+Model!V251+Model!V252</f>
        <v>2.7939945594166087</v>
      </c>
      <c r="M103" s="201">
        <f>+Model!W251+Model!W252</f>
        <v>2.7939945594166069</v>
      </c>
      <c r="N103" s="201">
        <f>+Model!X251+Model!X252</f>
        <v>2.7939945594166069</v>
      </c>
      <c r="P103" s="201">
        <f t="shared" si="72"/>
        <v>31.977845425357998</v>
      </c>
    </row>
    <row r="104" spans="2:16">
      <c r="B104" s="377">
        <f t="shared" si="73"/>
        <v>14</v>
      </c>
      <c r="C104" s="184" t="str">
        <f>+Model!B254</f>
        <v>Dividends / Capitalizations</v>
      </c>
      <c r="D104" s="182" t="s">
        <v>67</v>
      </c>
      <c r="E104" s="396">
        <f>+Model!O254</f>
        <v>0</v>
      </c>
      <c r="F104" s="201">
        <f>+Model!P254</f>
        <v>1.1102230246251565E-15</v>
      </c>
      <c r="G104" s="201">
        <f>+Model!Q254</f>
        <v>3.1965266510102177</v>
      </c>
      <c r="H104" s="201">
        <f>+Model!R254</f>
        <v>3.0930854813410038</v>
      </c>
      <c r="I104" s="201">
        <f>+Model!S254</f>
        <v>2.0282592357856029</v>
      </c>
      <c r="J104" s="397">
        <f>+Model!T254</f>
        <v>0.98092171013126261</v>
      </c>
      <c r="K104" s="201">
        <f>+Model!U254</f>
        <v>0</v>
      </c>
      <c r="L104" s="201">
        <f>+Model!V254</f>
        <v>0</v>
      </c>
      <c r="M104" s="201">
        <f>+Model!W254</f>
        <v>0</v>
      </c>
      <c r="N104" s="201">
        <f>+Model!X254</f>
        <v>0</v>
      </c>
      <c r="P104" s="201">
        <f t="shared" si="72"/>
        <v>9.298793078268087</v>
      </c>
    </row>
    <row r="105" spans="2:16">
      <c r="B105" s="377">
        <f t="shared" si="73"/>
        <v>15</v>
      </c>
      <c r="C105" s="385" t="s">
        <v>448</v>
      </c>
      <c r="D105" s="398" t="s">
        <v>67</v>
      </c>
      <c r="E105" s="399">
        <f>ROUND(+SUM(E99:E104),10)</f>
        <v>0.58277960340000001</v>
      </c>
      <c r="F105" s="387">
        <f t="shared" ref="F105:J105" si="78">ROUND(+SUM(F99:F104),10)</f>
        <v>-9.7386041956000007</v>
      </c>
      <c r="G105" s="387">
        <f t="shared" si="78"/>
        <v>-1.8441754078000001</v>
      </c>
      <c r="H105" s="387">
        <f t="shared" si="78"/>
        <v>0</v>
      </c>
      <c r="I105" s="387">
        <f t="shared" si="78"/>
        <v>0</v>
      </c>
      <c r="J105" s="400">
        <f t="shared" si="78"/>
        <v>0</v>
      </c>
      <c r="K105" s="387">
        <f t="shared" ref="K105:N105" si="79">ROUND(+SUM(K99:K104),10)</f>
        <v>0.1259439067</v>
      </c>
      <c r="L105" s="387">
        <f t="shared" si="79"/>
        <v>2.0542651717</v>
      </c>
      <c r="M105" s="387">
        <f t="shared" si="79"/>
        <v>3.9946210204999999</v>
      </c>
      <c r="N105" s="387">
        <f t="shared" si="79"/>
        <v>5.9471228908000002</v>
      </c>
      <c r="P105" s="387">
        <f t="shared" si="72"/>
        <v>1.1219529897000013</v>
      </c>
    </row>
    <row r="106" spans="2:16">
      <c r="B106" s="377">
        <f t="shared" si="73"/>
        <v>16</v>
      </c>
      <c r="C106" s="184" t="s">
        <v>60</v>
      </c>
      <c r="D106" s="182" t="s">
        <v>67</v>
      </c>
      <c r="E106" s="396">
        <f>+Model!O257</f>
        <v>10.999999999999993</v>
      </c>
      <c r="F106" s="201">
        <f>+E107</f>
        <v>11.582779603399993</v>
      </c>
      <c r="G106" s="201">
        <f>+F107</f>
        <v>1.8441749999999999</v>
      </c>
      <c r="H106" s="201">
        <f t="shared" ref="H106:J106" si="80">+G107</f>
        <v>0</v>
      </c>
      <c r="I106" s="201">
        <f t="shared" si="80"/>
        <v>0</v>
      </c>
      <c r="J106" s="397">
        <f t="shared" si="80"/>
        <v>0</v>
      </c>
      <c r="K106" s="201">
        <f t="shared" ref="K106" si="81">+J107</f>
        <v>0</v>
      </c>
      <c r="L106" s="201">
        <f t="shared" ref="L106" si="82">+K107</f>
        <v>0.125944</v>
      </c>
      <c r="M106" s="201">
        <f t="shared" ref="M106" si="83">+L107</f>
        <v>2.1802090000000001</v>
      </c>
      <c r="N106" s="201">
        <f t="shared" ref="N106" si="84">+M107</f>
        <v>6.17483</v>
      </c>
    </row>
    <row r="107" spans="2:16">
      <c r="B107" s="377">
        <f t="shared" si="73"/>
        <v>17</v>
      </c>
      <c r="C107" s="385" t="s">
        <v>61</v>
      </c>
      <c r="D107" s="398" t="s">
        <v>67</v>
      </c>
      <c r="E107" s="399">
        <f>+SUM(E105:E106)</f>
        <v>11.582779603399993</v>
      </c>
      <c r="F107" s="387">
        <f>ROUND(+SUM(F105:F106),6)</f>
        <v>1.8441749999999999</v>
      </c>
      <c r="G107" s="387">
        <f t="shared" ref="G107:J107" si="85">ROUND(+SUM(G105:G106),6)</f>
        <v>0</v>
      </c>
      <c r="H107" s="387">
        <f t="shared" si="85"/>
        <v>0</v>
      </c>
      <c r="I107" s="387">
        <f t="shared" si="85"/>
        <v>0</v>
      </c>
      <c r="J107" s="400">
        <f t="shared" si="85"/>
        <v>0</v>
      </c>
      <c r="K107" s="387">
        <f t="shared" ref="K107:N107" si="86">ROUND(+SUM(K105:K106),6)</f>
        <v>0.125944</v>
      </c>
      <c r="L107" s="387">
        <f t="shared" si="86"/>
        <v>2.1802090000000001</v>
      </c>
      <c r="M107" s="387">
        <f t="shared" si="86"/>
        <v>6.17483</v>
      </c>
      <c r="N107" s="387">
        <f t="shared" si="86"/>
        <v>12.121953</v>
      </c>
    </row>
    <row r="108" spans="2:16">
      <c r="B108" s="377">
        <f t="shared" si="73"/>
        <v>18</v>
      </c>
    </row>
    <row r="109" spans="2:16">
      <c r="B109" s="377">
        <f t="shared" si="73"/>
        <v>19</v>
      </c>
      <c r="C109" s="401" t="s">
        <v>449</v>
      </c>
      <c r="D109" s="182" t="s">
        <v>14</v>
      </c>
      <c r="E109" s="243">
        <f t="shared" ref="E109:N109" si="87">+E99/E95</f>
        <v>1.0507192250403143</v>
      </c>
      <c r="F109" s="243">
        <f t="shared" si="87"/>
        <v>-0.77490292686881057</v>
      </c>
      <c r="G109" s="243">
        <f t="shared" si="87"/>
        <v>-0.36154769305003465</v>
      </c>
      <c r="H109" s="243">
        <f t="shared" si="87"/>
        <v>-0.13050484001763865</v>
      </c>
      <c r="I109" s="243">
        <f t="shared" si="87"/>
        <v>1.729637655086318E-2</v>
      </c>
      <c r="J109" s="409">
        <f t="shared" si="87"/>
        <v>0.11833288748906702</v>
      </c>
      <c r="K109" s="243">
        <f t="shared" si="87"/>
        <v>0.19097209342451441</v>
      </c>
      <c r="L109" s="243">
        <f t="shared" si="87"/>
        <v>0.24567080971023256</v>
      </c>
      <c r="M109" s="243">
        <f t="shared" si="87"/>
        <v>0.28907910682895299</v>
      </c>
      <c r="N109" s="243">
        <f t="shared" si="87"/>
        <v>0.32444671667392666</v>
      </c>
      <c r="O109" s="372" t="s">
        <v>702</v>
      </c>
      <c r="P109" s="243">
        <f>+P99/P95</f>
        <v>0.13590448243662626</v>
      </c>
    </row>
    <row r="110" spans="2:16">
      <c r="B110" s="377">
        <f t="shared" si="73"/>
        <v>20</v>
      </c>
      <c r="C110" s="401" t="s">
        <v>705</v>
      </c>
      <c r="D110" s="182" t="s">
        <v>14</v>
      </c>
      <c r="E110" s="186">
        <f>+E99/E92</f>
        <v>7.7167921809655315E-2</v>
      </c>
      <c r="F110" s="186">
        <f t="shared" ref="F110:P110" si="88">+F99/F92</f>
        <v>-6.8382909349924803E-2</v>
      </c>
      <c r="G110" s="186">
        <f t="shared" si="88"/>
        <v>-3.1890310281313033E-2</v>
      </c>
      <c r="H110" s="186">
        <f t="shared" si="88"/>
        <v>-1.1508592092566865E-2</v>
      </c>
      <c r="I110" s="186">
        <f t="shared" si="88"/>
        <v>1.5251143693877738E-3</v>
      </c>
      <c r="J110" s="403">
        <f t="shared" si="88"/>
        <v>1.0433523702940081E-2</v>
      </c>
      <c r="K110" s="186">
        <f t="shared" si="88"/>
        <v>1.6837973296978507E-2</v>
      </c>
      <c r="L110" s="186">
        <f t="shared" si="88"/>
        <v>2.1660996949139213E-2</v>
      </c>
      <c r="M110" s="186">
        <f t="shared" si="88"/>
        <v>2.5489072226940277E-2</v>
      </c>
      <c r="N110" s="186">
        <f t="shared" si="88"/>
        <v>2.860873632051858E-2</v>
      </c>
      <c r="P110" s="243">
        <f t="shared" si="88"/>
        <v>1.1936121496112648E-2</v>
      </c>
    </row>
    <row r="111" spans="2:16">
      <c r="B111" s="377"/>
      <c r="C111" s="401"/>
      <c r="D111" s="182"/>
      <c r="E111" s="243"/>
      <c r="F111" s="243"/>
      <c r="G111" s="243"/>
      <c r="H111" s="243"/>
      <c r="I111" s="243"/>
      <c r="J111" s="409"/>
      <c r="L111" s="243"/>
    </row>
    <row r="112" spans="2:16">
      <c r="B112" s="377"/>
      <c r="C112" s="401"/>
      <c r="D112" s="182"/>
      <c r="E112" s="240">
        <f t="shared" ref="E112:N112" si="89">+E91</f>
        <v>2024</v>
      </c>
      <c r="F112" s="240">
        <f t="shared" si="89"/>
        <v>2025</v>
      </c>
      <c r="G112" s="240">
        <f t="shared" si="89"/>
        <v>2026</v>
      </c>
      <c r="H112" s="240">
        <f t="shared" si="89"/>
        <v>2027</v>
      </c>
      <c r="I112" s="240">
        <f t="shared" si="89"/>
        <v>2028</v>
      </c>
      <c r="J112" s="258">
        <f t="shared" si="89"/>
        <v>2029</v>
      </c>
      <c r="K112" s="240">
        <f t="shared" si="89"/>
        <v>2030</v>
      </c>
      <c r="L112" s="240">
        <f t="shared" si="89"/>
        <v>2031</v>
      </c>
      <c r="M112" s="240">
        <f t="shared" si="89"/>
        <v>2032</v>
      </c>
      <c r="N112" s="240">
        <f t="shared" si="89"/>
        <v>2033</v>
      </c>
      <c r="O112" s="240"/>
    </row>
    <row r="113" spans="1:15">
      <c r="B113" s="377"/>
      <c r="C113" s="401"/>
      <c r="D113" s="182" t="str">
        <f>+C95</f>
        <v>EBITDA</v>
      </c>
      <c r="E113" s="410">
        <f t="shared" ref="E113:N113" si="90">+E95</f>
        <v>3.474405829971019</v>
      </c>
      <c r="F113" s="410">
        <f t="shared" si="90"/>
        <v>7.1239007591890768</v>
      </c>
      <c r="G113" s="410">
        <f t="shared" si="90"/>
        <v>10.072002036550074</v>
      </c>
      <c r="H113" s="410">
        <f t="shared" si="90"/>
        <v>13.024441684564323</v>
      </c>
      <c r="I113" s="410">
        <f t="shared" si="90"/>
        <v>15.981349854351407</v>
      </c>
      <c r="J113" s="410">
        <f t="shared" si="90"/>
        <v>18.942860601564519</v>
      </c>
      <c r="K113" s="410">
        <f t="shared" si="90"/>
        <v>21.909112003526445</v>
      </c>
      <c r="L113" s="410">
        <f t="shared" si="90"/>
        <v>24.880246279879657</v>
      </c>
      <c r="M113" s="410">
        <f t="shared" si="90"/>
        <v>27.856409916855796</v>
      </c>
      <c r="N113" s="410">
        <f t="shared" si="90"/>
        <v>30.837753795273727</v>
      </c>
      <c r="O113" s="410"/>
    </row>
    <row r="114" spans="1:15">
      <c r="B114" s="377"/>
      <c r="C114" s="401"/>
      <c r="D114" s="182" t="str">
        <f>+C99</f>
        <v>Operating free cash flow</v>
      </c>
      <c r="E114" s="410">
        <f t="shared" ref="E114:N114" si="91">+E99</f>
        <v>3.6506250011426991</v>
      </c>
      <c r="F114" s="410">
        <f t="shared" si="91"/>
        <v>-5.5203315490185574</v>
      </c>
      <c r="G114" s="410">
        <f t="shared" si="91"/>
        <v>-3.6415091007099303</v>
      </c>
      <c r="H114" s="410">
        <f t="shared" si="91"/>
        <v>-1.6997526783631312</v>
      </c>
      <c r="I114" s="410">
        <f t="shared" si="91"/>
        <v>0.27641944487194436</v>
      </c>
      <c r="J114" s="410">
        <f t="shared" si="91"/>
        <v>2.2415633922860145</v>
      </c>
      <c r="K114" s="410">
        <f t="shared" si="91"/>
        <v>4.184028984385602</v>
      </c>
      <c r="L114" s="410">
        <f t="shared" si="91"/>
        <v>6.1123502493680366</v>
      </c>
      <c r="M114" s="410">
        <f t="shared" si="91"/>
        <v>8.0527060982258618</v>
      </c>
      <c r="N114" s="410">
        <f t="shared" si="91"/>
        <v>10.005207968475482</v>
      </c>
      <c r="O114" s="410"/>
    </row>
    <row r="115" spans="1:15">
      <c r="B115" s="377"/>
      <c r="C115" s="401"/>
      <c r="D115" s="182" t="str">
        <f>+C109</f>
        <v>FCFF/EBITDA</v>
      </c>
      <c r="E115" s="187">
        <f t="shared" ref="E115:N115" si="92">+E109</f>
        <v>1.0507192250403143</v>
      </c>
      <c r="F115" s="187">
        <f t="shared" si="92"/>
        <v>-0.77490292686881057</v>
      </c>
      <c r="G115" s="187">
        <f t="shared" si="92"/>
        <v>-0.36154769305003465</v>
      </c>
      <c r="H115" s="187">
        <f t="shared" si="92"/>
        <v>-0.13050484001763865</v>
      </c>
      <c r="I115" s="187">
        <f t="shared" si="92"/>
        <v>1.729637655086318E-2</v>
      </c>
      <c r="J115" s="187">
        <f t="shared" si="92"/>
        <v>0.11833288748906702</v>
      </c>
      <c r="K115" s="187">
        <f t="shared" si="92"/>
        <v>0.19097209342451441</v>
      </c>
      <c r="L115" s="187">
        <f t="shared" si="92"/>
        <v>0.24567080971023256</v>
      </c>
      <c r="M115" s="187">
        <f t="shared" si="92"/>
        <v>0.28907910682895299</v>
      </c>
      <c r="N115" s="187">
        <f t="shared" si="92"/>
        <v>0.32444671667392666</v>
      </c>
      <c r="O115" s="187"/>
    </row>
    <row r="116" spans="1:15">
      <c r="B116" s="377"/>
      <c r="C116" s="401"/>
      <c r="D116" s="182"/>
      <c r="E116" s="243"/>
      <c r="F116" s="243"/>
      <c r="G116" s="243"/>
      <c r="H116" s="243"/>
      <c r="I116" s="243"/>
      <c r="J116" s="409"/>
      <c r="L116" s="243"/>
    </row>
    <row r="117" spans="1:15">
      <c r="B117" s="377"/>
      <c r="C117" s="401"/>
      <c r="D117" s="182"/>
      <c r="E117" s="243"/>
      <c r="F117" s="243"/>
      <c r="G117" s="243"/>
      <c r="H117" s="243"/>
      <c r="I117" s="243"/>
      <c r="J117" s="409"/>
      <c r="L117" s="243"/>
    </row>
    <row r="118" spans="1:15">
      <c r="B118" s="377"/>
      <c r="C118" s="401"/>
      <c r="D118" s="182"/>
      <c r="E118" s="243"/>
      <c r="F118" s="243"/>
      <c r="G118" s="243"/>
      <c r="H118" s="243"/>
      <c r="I118" s="243"/>
      <c r="J118" s="409"/>
      <c r="L118" s="243"/>
    </row>
    <row r="119" spans="1:15">
      <c r="B119" s="377"/>
      <c r="C119" s="401"/>
      <c r="D119" s="182"/>
      <c r="E119" s="243"/>
      <c r="F119" s="243"/>
      <c r="G119" s="243"/>
      <c r="H119" s="243"/>
      <c r="I119" s="243"/>
      <c r="J119" s="409"/>
      <c r="L119" s="243"/>
    </row>
    <row r="120" spans="1:15">
      <c r="B120" s="377"/>
      <c r="C120" s="401"/>
      <c r="D120" s="182"/>
      <c r="E120" s="243"/>
      <c r="F120" s="243"/>
      <c r="G120" s="243"/>
      <c r="H120" s="243"/>
      <c r="I120" s="243"/>
      <c r="J120" s="409"/>
      <c r="L120" s="243"/>
    </row>
    <row r="121" spans="1:15">
      <c r="B121" s="377"/>
      <c r="C121" s="401"/>
      <c r="D121" s="182"/>
      <c r="E121" s="243"/>
      <c r="F121" s="243"/>
      <c r="G121" s="243"/>
      <c r="H121" s="243"/>
      <c r="I121" s="243"/>
      <c r="J121" s="409"/>
      <c r="L121" s="243"/>
    </row>
    <row r="122" spans="1:15">
      <c r="B122" s="377"/>
      <c r="C122" s="401"/>
      <c r="D122" s="182"/>
      <c r="E122" s="243"/>
      <c r="F122" s="243"/>
      <c r="G122" s="243"/>
      <c r="H122" s="243"/>
      <c r="I122" s="243"/>
      <c r="J122" s="409"/>
      <c r="L122" s="243"/>
    </row>
    <row r="124" spans="1:15">
      <c r="A124" s="177" t="s">
        <v>10</v>
      </c>
      <c r="B124" s="178" t="s">
        <v>450</v>
      </c>
      <c r="C124" s="178"/>
      <c r="D124" s="179"/>
      <c r="E124" s="179"/>
      <c r="F124" s="179"/>
      <c r="G124" s="179"/>
      <c r="H124" s="179"/>
      <c r="I124" s="179"/>
      <c r="J124" s="375"/>
      <c r="K124" s="179"/>
      <c r="L124" s="179"/>
    </row>
    <row r="126" spans="1:15">
      <c r="B126" s="377">
        <v>1</v>
      </c>
      <c r="C126" s="378" t="s">
        <v>450</v>
      </c>
      <c r="D126" s="379" t="s">
        <v>12</v>
      </c>
      <c r="E126" s="395">
        <v>2024</v>
      </c>
      <c r="F126" s="395">
        <f>+E126+1</f>
        <v>2025</v>
      </c>
      <c r="G126" s="395">
        <f t="shared" ref="G126:I126" si="93">+F126+1</f>
        <v>2026</v>
      </c>
      <c r="H126" s="395">
        <f t="shared" si="93"/>
        <v>2027</v>
      </c>
      <c r="I126" s="395">
        <f t="shared" si="93"/>
        <v>2028</v>
      </c>
      <c r="J126" s="372" t="s">
        <v>702</v>
      </c>
      <c r="K126" s="395" t="s">
        <v>411</v>
      </c>
    </row>
    <row r="127" spans="1:15">
      <c r="B127" s="377">
        <f>+B126+1</f>
        <v>2</v>
      </c>
      <c r="C127" s="184" t="s">
        <v>49</v>
      </c>
      <c r="D127" s="182" t="s">
        <v>67</v>
      </c>
      <c r="E127" s="201">
        <f>+Model!O331+Model!O333</f>
        <v>-18.033762394285684</v>
      </c>
      <c r="F127" s="201">
        <f>+Model!P331+Model!P333</f>
        <v>0</v>
      </c>
      <c r="G127" s="201">
        <f>+Model!Q331+Model!Q333</f>
        <v>-3.1965266510102173</v>
      </c>
      <c r="H127" s="201">
        <f>+Model!R331+Model!R333</f>
        <v>-3.0930854813410029</v>
      </c>
      <c r="I127" s="201">
        <f>+Model!S331+Model!S333</f>
        <v>-2.0282592357856046</v>
      </c>
      <c r="K127" s="201">
        <f t="shared" ref="K127:K132" si="94">+SUM(E127:J127)</f>
        <v>-26.351633762422509</v>
      </c>
    </row>
    <row r="128" spans="1:15">
      <c r="B128" s="377">
        <f t="shared" ref="B128:B137" si="95">+B127+1</f>
        <v>3</v>
      </c>
      <c r="C128" s="184" t="s">
        <v>198</v>
      </c>
      <c r="D128" s="182" t="s">
        <v>67</v>
      </c>
      <c r="E128" s="201">
        <f>+Model!O332</f>
        <v>-15.362093891428545</v>
      </c>
      <c r="F128" s="201">
        <f>+Model!P332</f>
        <v>0</v>
      </c>
      <c r="G128" s="201">
        <f>+Model!Q332</f>
        <v>0</v>
      </c>
      <c r="H128" s="201">
        <f>+Model!R332</f>
        <v>0</v>
      </c>
      <c r="I128" s="201">
        <f>+Model!S332</f>
        <v>0</v>
      </c>
      <c r="K128" s="201">
        <f t="shared" si="94"/>
        <v>-15.362093891428545</v>
      </c>
    </row>
    <row r="129" spans="2:11">
      <c r="B129" s="377">
        <f t="shared" si="95"/>
        <v>4</v>
      </c>
      <c r="C129" s="184" t="str">
        <f>+Model!B334</f>
        <v>Sub debt amortization</v>
      </c>
      <c r="D129" s="182" t="s">
        <v>67</v>
      </c>
      <c r="E129" s="201">
        <f>+Model!O334</f>
        <v>0</v>
      </c>
      <c r="F129" s="201">
        <f>+Model!P334</f>
        <v>0</v>
      </c>
      <c r="G129" s="201">
        <f>+Model!Q334</f>
        <v>0</v>
      </c>
      <c r="H129" s="201">
        <f>+Model!R334</f>
        <v>0</v>
      </c>
      <c r="I129" s="201">
        <f>+Model!S334</f>
        <v>0</v>
      </c>
      <c r="K129" s="201">
        <f t="shared" si="94"/>
        <v>0</v>
      </c>
    </row>
    <row r="130" spans="2:11">
      <c r="B130" s="377">
        <f t="shared" si="95"/>
        <v>5</v>
      </c>
      <c r="C130" s="184" t="str">
        <f>+Model!B335</f>
        <v>Sub debt interest payment</v>
      </c>
      <c r="D130" s="182" t="s">
        <v>67</v>
      </c>
      <c r="E130" s="201">
        <f>+Model!O335</f>
        <v>0</v>
      </c>
      <c r="F130" s="201">
        <f>+Model!P335</f>
        <v>0</v>
      </c>
      <c r="G130" s="201">
        <f>+Model!Q335</f>
        <v>0</v>
      </c>
      <c r="H130" s="201">
        <f>+Model!R335</f>
        <v>0</v>
      </c>
      <c r="I130" s="201">
        <f>+Model!S335</f>
        <v>0</v>
      </c>
      <c r="K130" s="201">
        <f t="shared" si="94"/>
        <v>0</v>
      </c>
    </row>
    <row r="131" spans="2:11">
      <c r="B131" s="377">
        <f t="shared" si="95"/>
        <v>6</v>
      </c>
      <c r="C131" s="184" t="s">
        <v>155</v>
      </c>
      <c r="D131" s="182" t="s">
        <v>67</v>
      </c>
      <c r="E131" s="201">
        <f>+Model!O336++Model!O337</f>
        <v>0</v>
      </c>
      <c r="F131" s="201">
        <f>+Model!P336++Model!P337</f>
        <v>0</v>
      </c>
      <c r="G131" s="201">
        <f>+Model!Q336++Model!Q337</f>
        <v>0</v>
      </c>
      <c r="H131" s="201">
        <f>+Model!R336++Model!R337</f>
        <v>0</v>
      </c>
      <c r="I131" s="201">
        <f>+Model!S336++Model!S337</f>
        <v>0</v>
      </c>
      <c r="K131" s="201">
        <f t="shared" si="94"/>
        <v>0</v>
      </c>
    </row>
    <row r="132" spans="2:11">
      <c r="B132" s="377">
        <f t="shared" si="95"/>
        <v>7</v>
      </c>
      <c r="C132" s="184" t="str">
        <f>+Model!B338</f>
        <v>Exit Value</v>
      </c>
      <c r="D132" s="182" t="s">
        <v>67</v>
      </c>
      <c r="E132" s="201">
        <f>+Model!O338</f>
        <v>0</v>
      </c>
      <c r="F132" s="201">
        <f>+Model!P338</f>
        <v>0</v>
      </c>
      <c r="G132" s="201">
        <f>+Model!Q338</f>
        <v>0</v>
      </c>
      <c r="H132" s="201">
        <f>+Model!R338</f>
        <v>0</v>
      </c>
      <c r="I132" s="201">
        <f>+Model!S338</f>
        <v>138.45515602922839</v>
      </c>
      <c r="K132" s="201">
        <f t="shared" si="94"/>
        <v>138.45515602922839</v>
      </c>
    </row>
    <row r="133" spans="2:11">
      <c r="B133" s="377">
        <f>+B132+1</f>
        <v>8</v>
      </c>
      <c r="C133" s="385" t="str">
        <f>+Model!B339</f>
        <v>Gross Cash Flow to Equity</v>
      </c>
      <c r="D133" s="398" t="s">
        <v>67</v>
      </c>
      <c r="E133" s="387">
        <f>+SUM(E127:E132)</f>
        <v>-33.395856285714231</v>
      </c>
      <c r="F133" s="387">
        <f>+SUM(F127:F132)</f>
        <v>0</v>
      </c>
      <c r="G133" s="387">
        <f>+SUM(G127:G132)</f>
        <v>-3.1965266510102173</v>
      </c>
      <c r="H133" s="387">
        <f>+SUM(H127:H132)</f>
        <v>-3.0930854813410029</v>
      </c>
      <c r="I133" s="387">
        <f>+SUM(I127:I132)</f>
        <v>136.42689679344278</v>
      </c>
      <c r="K133" s="387">
        <f>+SUM(K127:K132)</f>
        <v>96.741428375377339</v>
      </c>
    </row>
    <row r="134" spans="2:11">
      <c r="B134" s="377">
        <f t="shared" si="95"/>
        <v>9</v>
      </c>
      <c r="C134" s="184" t="s">
        <v>889</v>
      </c>
      <c r="D134" s="182" t="s">
        <v>67</v>
      </c>
      <c r="E134" s="201">
        <f>+SUM($E$133:E133)</f>
        <v>-33.395856285714231</v>
      </c>
      <c r="F134" s="201">
        <f>+SUM($E$133:F133)</f>
        <v>-33.395856285714231</v>
      </c>
      <c r="G134" s="201">
        <f>+SUM($E$133:G133)</f>
        <v>-36.592382936724448</v>
      </c>
      <c r="H134" s="201">
        <f>+SUM($E$133:H133)</f>
        <v>-39.685468418065454</v>
      </c>
      <c r="I134" s="201">
        <f>+SUM($E$133:I133)</f>
        <v>96.741428375377325</v>
      </c>
    </row>
    <row r="135" spans="2:11" ht="17" thickBot="1">
      <c r="B135" s="377">
        <f t="shared" si="95"/>
        <v>10</v>
      </c>
    </row>
    <row r="136" spans="2:11">
      <c r="B136" s="377">
        <f t="shared" si="95"/>
        <v>11</v>
      </c>
      <c r="C136" s="411" t="str">
        <f>+Model!B341</f>
        <v>Levered IRR</v>
      </c>
      <c r="D136" s="412" t="str">
        <f>+Model!C341</f>
        <v>%</v>
      </c>
      <c r="E136" s="413">
        <f>+Model!D341</f>
        <v>0.39345196829848961</v>
      </c>
      <c r="H136" s="201"/>
    </row>
    <row r="137" spans="2:11" ht="17" thickBot="1">
      <c r="B137" s="377">
        <f t="shared" si="95"/>
        <v>12</v>
      </c>
      <c r="C137" s="414" t="str">
        <f>+Model!B342</f>
        <v>Levered MOIC</v>
      </c>
      <c r="D137" s="415" t="str">
        <f>+Model!C342</f>
        <v>0.0x</v>
      </c>
      <c r="E137" s="416">
        <f>+Model!D342</f>
        <v>3.3191748572114497</v>
      </c>
      <c r="F137" s="206"/>
    </row>
    <row r="139" spans="2:11">
      <c r="E139" s="180">
        <f t="shared" ref="E139:J139" si="96">+E126</f>
        <v>2024</v>
      </c>
      <c r="F139" s="180">
        <f t="shared" si="96"/>
        <v>2025</v>
      </c>
      <c r="G139" s="180">
        <f t="shared" si="96"/>
        <v>2026</v>
      </c>
      <c r="H139" s="180">
        <f t="shared" si="96"/>
        <v>2027</v>
      </c>
      <c r="I139" s="180">
        <f t="shared" si="96"/>
        <v>2028</v>
      </c>
      <c r="J139" s="372" t="str">
        <f t="shared" si="96"/>
        <v>X</v>
      </c>
    </row>
    <row r="140" spans="2:11">
      <c r="D140" s="180" t="str">
        <f>+C133</f>
        <v>Gross Cash Flow to Equity</v>
      </c>
      <c r="E140" s="201">
        <f t="shared" ref="E140:J141" si="97">+E133</f>
        <v>-33.395856285714231</v>
      </c>
      <c r="F140" s="201">
        <f t="shared" si="97"/>
        <v>0</v>
      </c>
      <c r="G140" s="201">
        <f t="shared" si="97"/>
        <v>-3.1965266510102173</v>
      </c>
      <c r="H140" s="201">
        <f t="shared" si="97"/>
        <v>-3.0930854813410029</v>
      </c>
      <c r="I140" s="201">
        <f t="shared" si="97"/>
        <v>136.42689679344278</v>
      </c>
      <c r="J140" s="397">
        <f t="shared" si="97"/>
        <v>0</v>
      </c>
      <c r="K140" s="201"/>
    </row>
    <row r="141" spans="2:11">
      <c r="D141" s="180" t="str">
        <f>+C134</f>
        <v>Acum.  Cash Flow to Equity</v>
      </c>
      <c r="E141" s="201">
        <f t="shared" si="97"/>
        <v>-33.395856285714231</v>
      </c>
      <c r="F141" s="201">
        <f t="shared" si="97"/>
        <v>-33.395856285714231</v>
      </c>
      <c r="G141" s="201">
        <f t="shared" si="97"/>
        <v>-36.592382936724448</v>
      </c>
      <c r="H141" s="201">
        <f t="shared" si="97"/>
        <v>-39.685468418065454</v>
      </c>
      <c r="I141" s="201">
        <f t="shared" si="97"/>
        <v>96.741428375377325</v>
      </c>
      <c r="J141" s="397">
        <f t="shared" si="97"/>
        <v>0</v>
      </c>
      <c r="K141" s="201"/>
    </row>
    <row r="142" spans="2:11">
      <c r="D142" s="180" t="str">
        <f t="shared" ref="D142:J142" si="98">+D141</f>
        <v>Acum.  Cash Flow to Equity</v>
      </c>
      <c r="E142" s="201">
        <f t="shared" si="98"/>
        <v>-33.395856285714231</v>
      </c>
      <c r="F142" s="201">
        <f t="shared" si="98"/>
        <v>-33.395856285714231</v>
      </c>
      <c r="G142" s="201">
        <f t="shared" si="98"/>
        <v>-36.592382936724448</v>
      </c>
      <c r="H142" s="201">
        <f t="shared" si="98"/>
        <v>-39.685468418065454</v>
      </c>
      <c r="I142" s="201">
        <f t="shared" si="98"/>
        <v>96.741428375377325</v>
      </c>
      <c r="J142" s="397">
        <f t="shared" si="98"/>
        <v>0</v>
      </c>
      <c r="K142" s="201"/>
    </row>
    <row r="151" spans="1:12">
      <c r="A151" s="177" t="s">
        <v>10</v>
      </c>
      <c r="B151" s="178" t="s">
        <v>887</v>
      </c>
      <c r="C151" s="178"/>
      <c r="D151" s="179"/>
      <c r="E151" s="179"/>
      <c r="F151" s="179"/>
      <c r="G151" s="179"/>
      <c r="H151" s="179"/>
      <c r="I151" s="179"/>
      <c r="J151" s="375"/>
      <c r="K151" s="179"/>
      <c r="L151" s="179"/>
    </row>
    <row r="152" spans="1:12">
      <c r="B152" s="204"/>
      <c r="C152" s="204"/>
      <c r="D152" s="376"/>
      <c r="E152" s="376"/>
      <c r="F152" s="376"/>
      <c r="G152" s="376"/>
      <c r="H152" s="376"/>
      <c r="I152" s="376"/>
      <c r="J152" s="417"/>
      <c r="K152" s="376"/>
      <c r="L152" s="376"/>
    </row>
    <row r="153" spans="1:12">
      <c r="B153" s="377">
        <v>1</v>
      </c>
      <c r="C153" s="378" t="str">
        <f>+B151</f>
        <v>LP Cash Flow</v>
      </c>
      <c r="D153" s="379" t="s">
        <v>12</v>
      </c>
      <c r="E153" s="395">
        <v>2024</v>
      </c>
      <c r="F153" s="395">
        <f>+E153+1</f>
        <v>2025</v>
      </c>
      <c r="G153" s="395">
        <f t="shared" ref="G153" si="99">+F153+1</f>
        <v>2026</v>
      </c>
      <c r="H153" s="395">
        <f t="shared" ref="H153" si="100">+G153+1</f>
        <v>2027</v>
      </c>
      <c r="I153" s="395">
        <f t="shared" ref="I153" si="101">+H153+1</f>
        <v>2028</v>
      </c>
      <c r="J153" s="372" t="s">
        <v>702</v>
      </c>
      <c r="K153" s="395" t="s">
        <v>411</v>
      </c>
      <c r="L153" s="376"/>
    </row>
    <row r="154" spans="1:12">
      <c r="B154" s="377">
        <f>+B153+1</f>
        <v>2</v>
      </c>
      <c r="C154" s="184" t="str">
        <f>+Model!B538</f>
        <v>Invested Capital</v>
      </c>
      <c r="D154" s="182" t="s">
        <v>67</v>
      </c>
      <c r="E154" s="201">
        <f>+Model!O538</f>
        <v>-30.056270657142807</v>
      </c>
      <c r="F154" s="201">
        <f>+Model!P538</f>
        <v>0</v>
      </c>
      <c r="G154" s="201">
        <f>+Model!Q538</f>
        <v>-2.8768739859091954</v>
      </c>
      <c r="H154" s="201">
        <f>+Model!R538</f>
        <v>-2.7837769332069029</v>
      </c>
      <c r="I154" s="201">
        <f>+Model!S538</f>
        <v>-1.8254333122070443</v>
      </c>
      <c r="K154" s="201">
        <f>+SUM(E154:I154)</f>
        <v>-37.542354888465951</v>
      </c>
      <c r="L154" s="376"/>
    </row>
    <row r="155" spans="1:12">
      <c r="B155" s="377">
        <f t="shared" ref="B155:B159" si="102">+B154+1</f>
        <v>3</v>
      </c>
      <c r="C155" s="184" t="str">
        <f>+Model!B539</f>
        <v>Invested Capital + Prefered Return</v>
      </c>
      <c r="D155" s="182" t="s">
        <v>67</v>
      </c>
      <c r="E155" s="201">
        <f>+Model!O539</f>
        <v>0</v>
      </c>
      <c r="F155" s="201">
        <f>+Model!P539</f>
        <v>0</v>
      </c>
      <c r="G155" s="201">
        <f>+Model!Q539</f>
        <v>0</v>
      </c>
      <c r="H155" s="201">
        <f>+Model!R539</f>
        <v>0</v>
      </c>
      <c r="I155" s="201">
        <f>+Model!S539</f>
        <v>52.55929684385233</v>
      </c>
      <c r="J155" s="417"/>
      <c r="K155" s="201">
        <f t="shared" ref="K155:K158" si="103">+SUM(E155:I155)</f>
        <v>52.55929684385233</v>
      </c>
      <c r="L155" s="376"/>
    </row>
    <row r="156" spans="1:12">
      <c r="B156" s="377">
        <f t="shared" si="102"/>
        <v>4</v>
      </c>
      <c r="C156" s="184" t="str">
        <f>+Model!B540</f>
        <v>Step 3 Distribution up to 2.5x @0.8</v>
      </c>
      <c r="D156" s="182" t="s">
        <v>67</v>
      </c>
      <c r="E156" s="201">
        <f>+Model!O540</f>
        <v>0</v>
      </c>
      <c r="F156" s="201">
        <f>+Model!P540</f>
        <v>0</v>
      </c>
      <c r="G156" s="201">
        <f>+Model!Q540</f>
        <v>0</v>
      </c>
      <c r="H156" s="201">
        <f>+Model!R540</f>
        <v>0</v>
      </c>
      <c r="I156" s="201">
        <f>+Model!S540</f>
        <v>41.296590377312555</v>
      </c>
      <c r="J156" s="417"/>
      <c r="K156" s="201">
        <f t="shared" si="103"/>
        <v>41.296590377312555</v>
      </c>
      <c r="L156" s="376"/>
    </row>
    <row r="157" spans="1:12">
      <c r="B157" s="377">
        <f t="shared" si="102"/>
        <v>5</v>
      </c>
      <c r="C157" s="184" t="str">
        <f>+Model!B541</f>
        <v>Step 4 Distribution up to 3.5x @0.75</v>
      </c>
      <c r="D157" s="182" t="s">
        <v>67</v>
      </c>
      <c r="E157" s="201">
        <f>+Model!O541</f>
        <v>0</v>
      </c>
      <c r="F157" s="201">
        <f>+Model!P541</f>
        <v>0</v>
      </c>
      <c r="G157" s="201">
        <f>+Model!Q541</f>
        <v>0</v>
      </c>
      <c r="H157" s="201">
        <f>+Model!R541</f>
        <v>0</v>
      </c>
      <c r="I157" s="201">
        <f>+Model!S541</f>
        <v>12.50652759147</v>
      </c>
      <c r="J157" s="417"/>
      <c r="K157" s="201">
        <f t="shared" si="103"/>
        <v>12.50652759147</v>
      </c>
      <c r="L157" s="376"/>
    </row>
    <row r="158" spans="1:12">
      <c r="B158" s="377">
        <f t="shared" si="102"/>
        <v>6</v>
      </c>
      <c r="C158" s="216" t="str">
        <f>+Model!B542</f>
        <v>Step 5 Resting Distributions @0.7</v>
      </c>
      <c r="D158" s="208" t="s">
        <v>67</v>
      </c>
      <c r="E158" s="294">
        <f>+Model!O542</f>
        <v>0</v>
      </c>
      <c r="F158" s="294">
        <f>+Model!P542</f>
        <v>0</v>
      </c>
      <c r="G158" s="294">
        <f>+Model!Q542</f>
        <v>0</v>
      </c>
      <c r="H158" s="294">
        <f>+Model!R542</f>
        <v>0</v>
      </c>
      <c r="I158" s="294">
        <f>+Model!S542</f>
        <v>0</v>
      </c>
      <c r="J158" s="417"/>
      <c r="K158" s="294">
        <f t="shared" si="103"/>
        <v>0</v>
      </c>
      <c r="L158" s="376"/>
    </row>
    <row r="159" spans="1:12" s="213" customFormat="1">
      <c r="B159" s="377">
        <f t="shared" si="102"/>
        <v>7</v>
      </c>
      <c r="C159" s="385" t="str">
        <f>+Model!B543</f>
        <v>Limited Partners Cash Flow</v>
      </c>
      <c r="D159" s="398" t="s">
        <v>67</v>
      </c>
      <c r="E159" s="387">
        <f>+SUM(E154:E158)</f>
        <v>-30.056270657142807</v>
      </c>
      <c r="F159" s="387">
        <f t="shared" ref="F159:I159" si="104">+SUM(F154:F158)</f>
        <v>0</v>
      </c>
      <c r="G159" s="387">
        <f t="shared" si="104"/>
        <v>-2.8768739859091954</v>
      </c>
      <c r="H159" s="387">
        <f t="shared" si="104"/>
        <v>-2.7837769332069029</v>
      </c>
      <c r="I159" s="387">
        <f t="shared" si="104"/>
        <v>104.53698150042784</v>
      </c>
      <c r="J159" s="417"/>
      <c r="K159" s="418">
        <f>+SUM(K154:K158)</f>
        <v>68.82005992416893</v>
      </c>
      <c r="L159" s="376"/>
    </row>
    <row r="160" spans="1:12" s="419" customFormat="1">
      <c r="B160" s="377"/>
      <c r="C160" s="401" t="s">
        <v>890</v>
      </c>
      <c r="D160" s="182" t="s">
        <v>67</v>
      </c>
      <c r="E160" s="420">
        <f>+SUM($E$159:E159)</f>
        <v>-30.056270657142807</v>
      </c>
      <c r="F160" s="420">
        <f>+SUM($E$159:F159)</f>
        <v>-30.056270657142807</v>
      </c>
      <c r="G160" s="420">
        <f>+SUM($E$159:G159)</f>
        <v>-32.933144643052003</v>
      </c>
      <c r="H160" s="420">
        <f>+SUM($E$159:H159)</f>
        <v>-35.716921576258905</v>
      </c>
      <c r="I160" s="420">
        <f>+SUM($E$159:I159)</f>
        <v>68.82005992416893</v>
      </c>
      <c r="J160" s="421"/>
      <c r="K160" s="422"/>
      <c r="L160" s="423"/>
    </row>
    <row r="161" spans="2:12" ht="17" thickBot="1">
      <c r="B161" s="377"/>
      <c r="C161" s="184"/>
      <c r="D161" s="376"/>
      <c r="E161" s="376"/>
      <c r="F161" s="376"/>
      <c r="G161" s="376"/>
      <c r="H161" s="376"/>
      <c r="I161" s="376"/>
      <c r="J161" s="417"/>
      <c r="K161" s="376"/>
      <c r="L161" s="376"/>
    </row>
    <row r="162" spans="2:12">
      <c r="B162" s="377"/>
      <c r="C162" s="411" t="str">
        <f>+Model!B545</f>
        <v>LPs IRR</v>
      </c>
      <c r="D162" s="412" t="str">
        <f>+Model!C545</f>
        <v>%</v>
      </c>
      <c r="E162" s="413">
        <f>+Model!D545</f>
        <v>0.33575782100732843</v>
      </c>
      <c r="F162" s="376"/>
      <c r="G162" s="376"/>
      <c r="H162" s="376"/>
      <c r="I162" s="376"/>
      <c r="J162" s="417"/>
      <c r="K162" s="376"/>
      <c r="L162" s="376"/>
    </row>
    <row r="163" spans="2:12" ht="17" thickBot="1">
      <c r="B163" s="377"/>
      <c r="C163" s="414" t="str">
        <f>+Model!B546</f>
        <v>LPs MoIC</v>
      </c>
      <c r="D163" s="415" t="str">
        <f>+Model!C546</f>
        <v>%</v>
      </c>
      <c r="E163" s="416">
        <f>+Model!D546</f>
        <v>2.8331311429084693</v>
      </c>
    </row>
    <row r="167" spans="2:12">
      <c r="C167" s="184" t="str">
        <f>+C154</f>
        <v>Invested Capital</v>
      </c>
      <c r="D167" s="201">
        <f>+K154</f>
        <v>-37.542354888465951</v>
      </c>
    </row>
    <row r="168" spans="2:12">
      <c r="C168" s="184" t="s">
        <v>901</v>
      </c>
      <c r="D168" s="201">
        <f t="shared" ref="D168:D171" si="105">+K155</f>
        <v>52.55929684385233</v>
      </c>
    </row>
    <row r="169" spans="2:12">
      <c r="C169" s="184" t="s">
        <v>902</v>
      </c>
      <c r="D169" s="201">
        <f t="shared" si="105"/>
        <v>41.296590377312555</v>
      </c>
    </row>
    <row r="170" spans="2:12">
      <c r="C170" s="184" t="s">
        <v>903</v>
      </c>
      <c r="D170" s="201">
        <f t="shared" si="105"/>
        <v>12.50652759147</v>
      </c>
    </row>
    <row r="171" spans="2:12">
      <c r="C171" s="216" t="s">
        <v>904</v>
      </c>
      <c r="D171" s="294">
        <f t="shared" si="105"/>
        <v>0</v>
      </c>
    </row>
    <row r="172" spans="2:12" s="213" customFormat="1">
      <c r="C172" s="213" t="str">
        <f>+C153</f>
        <v>LP Cash Flow</v>
      </c>
      <c r="D172" s="219">
        <f>SUM(D167:D171)</f>
        <v>68.82005992416893</v>
      </c>
      <c r="J172" s="389"/>
    </row>
    <row r="183" spans="1:12">
      <c r="A183" s="177" t="s">
        <v>10</v>
      </c>
      <c r="B183" s="178" t="s">
        <v>888</v>
      </c>
      <c r="C183" s="178"/>
      <c r="D183" s="179"/>
      <c r="E183" s="179"/>
      <c r="F183" s="179"/>
      <c r="G183" s="179"/>
      <c r="H183" s="179"/>
      <c r="I183" s="179"/>
      <c r="J183" s="375"/>
      <c r="K183" s="179"/>
      <c r="L183" s="179"/>
    </row>
    <row r="185" spans="1:12">
      <c r="B185" s="377">
        <v>1</v>
      </c>
      <c r="C185" s="378" t="str">
        <f>+B183</f>
        <v>GP Cash Flow</v>
      </c>
      <c r="D185" s="379" t="s">
        <v>12</v>
      </c>
      <c r="E185" s="395">
        <v>2024</v>
      </c>
      <c r="F185" s="395">
        <f>+E185+1</f>
        <v>2025</v>
      </c>
      <c r="G185" s="395">
        <f t="shared" ref="G185" si="106">+F185+1</f>
        <v>2026</v>
      </c>
      <c r="H185" s="395">
        <f t="shared" ref="H185" si="107">+G185+1</f>
        <v>2027</v>
      </c>
      <c r="I185" s="395">
        <f t="shared" ref="I185" si="108">+H185+1</f>
        <v>2028</v>
      </c>
      <c r="J185" s="372" t="s">
        <v>702</v>
      </c>
      <c r="K185" s="395" t="s">
        <v>411</v>
      </c>
    </row>
    <row r="186" spans="1:12">
      <c r="B186" s="377">
        <f>+B185+1</f>
        <v>2</v>
      </c>
      <c r="C186" s="184" t="str">
        <f>+Model!B549</f>
        <v>Invested Capital</v>
      </c>
      <c r="D186" s="182" t="str">
        <f>+Model!C549</f>
        <v>USD M</v>
      </c>
      <c r="E186" s="201">
        <f>+Model!O549</f>
        <v>-3.3395856285714234</v>
      </c>
      <c r="F186" s="201">
        <f>+Model!P549</f>
        <v>0</v>
      </c>
      <c r="G186" s="201">
        <f>+Model!Q549</f>
        <v>-0.31965266510102175</v>
      </c>
      <c r="H186" s="201">
        <f>+Model!R549</f>
        <v>-0.3093085481341003</v>
      </c>
      <c r="I186" s="201">
        <f>+Model!S549</f>
        <v>-0.20282592357856047</v>
      </c>
      <c r="K186" s="201">
        <f>+SUM(E186:I186)</f>
        <v>-4.1713727653851063</v>
      </c>
    </row>
    <row r="187" spans="1:12">
      <c r="B187" s="377">
        <f t="shared" ref="B187:B201" si="109">+B186+1</f>
        <v>3</v>
      </c>
      <c r="C187" s="184" t="str">
        <f>+Model!B550</f>
        <v>Invested Capital + Prefered Return</v>
      </c>
      <c r="D187" s="182" t="str">
        <f>+Model!C550</f>
        <v>USD M</v>
      </c>
      <c r="E187" s="201">
        <f>+Model!O550</f>
        <v>0</v>
      </c>
      <c r="F187" s="201">
        <f>+Model!P550</f>
        <v>0</v>
      </c>
      <c r="G187" s="201">
        <f>+Model!Q550</f>
        <v>0</v>
      </c>
      <c r="H187" s="201">
        <f>+Model!R550</f>
        <v>0</v>
      </c>
      <c r="I187" s="201">
        <f>+Model!S550</f>
        <v>5.8399218715391488</v>
      </c>
      <c r="K187" s="201">
        <f t="shared" ref="K187:K196" si="110">+SUM(E187:I187)</f>
        <v>5.8399218715391488</v>
      </c>
    </row>
    <row r="188" spans="1:12">
      <c r="B188" s="377">
        <f t="shared" si="109"/>
        <v>4</v>
      </c>
      <c r="C188" s="184" t="str">
        <f>+Model!B551</f>
        <v>Step 3 Distribution up to 2.5x @0.8</v>
      </c>
      <c r="D188" s="182" t="str">
        <f>+Model!C551</f>
        <v>USD M</v>
      </c>
      <c r="E188" s="201">
        <f>+Model!O551</f>
        <v>0</v>
      </c>
      <c r="F188" s="201">
        <f>+Model!P551</f>
        <v>0</v>
      </c>
      <c r="G188" s="201">
        <f>+Model!Q551</f>
        <v>0</v>
      </c>
      <c r="H188" s="201">
        <f>+Model!R551</f>
        <v>0</v>
      </c>
      <c r="I188" s="201">
        <f>+Model!S551</f>
        <v>4.5885100419236178</v>
      </c>
      <c r="K188" s="201">
        <f t="shared" si="110"/>
        <v>4.5885100419236178</v>
      </c>
    </row>
    <row r="189" spans="1:12">
      <c r="B189" s="377">
        <f t="shared" si="109"/>
        <v>5</v>
      </c>
      <c r="C189" s="184" t="str">
        <f>+Model!B552</f>
        <v>Step 4 Distribution up to 3.5x @0.75</v>
      </c>
      <c r="D189" s="182" t="str">
        <f>+Model!C552</f>
        <v>USD M</v>
      </c>
      <c r="E189" s="201">
        <f>+Model!O552</f>
        <v>0</v>
      </c>
      <c r="F189" s="201">
        <f>+Model!P552</f>
        <v>0</v>
      </c>
      <c r="G189" s="201">
        <f>+Model!Q552</f>
        <v>0</v>
      </c>
      <c r="H189" s="201">
        <f>+Model!R552</f>
        <v>0</v>
      </c>
      <c r="I189" s="201">
        <f>+Model!S552</f>
        <v>1.3896141768299994</v>
      </c>
      <c r="K189" s="201">
        <f t="shared" si="110"/>
        <v>1.3896141768299994</v>
      </c>
    </row>
    <row r="190" spans="1:12">
      <c r="B190" s="377">
        <f t="shared" si="109"/>
        <v>6</v>
      </c>
      <c r="C190" s="216" t="str">
        <f>+Model!B553</f>
        <v>Step 5 Resting Distributions @0.7</v>
      </c>
      <c r="D190" s="208" t="str">
        <f>+Model!C553</f>
        <v>USD M</v>
      </c>
      <c r="E190" s="294">
        <f>+Model!O553</f>
        <v>0</v>
      </c>
      <c r="F190" s="294">
        <f>+Model!P553</f>
        <v>0</v>
      </c>
      <c r="G190" s="294">
        <f>+Model!Q553</f>
        <v>0</v>
      </c>
      <c r="H190" s="294">
        <f>+Model!R553</f>
        <v>0</v>
      </c>
      <c r="I190" s="294">
        <f>+Model!S553</f>
        <v>0</v>
      </c>
      <c r="K190" s="201">
        <f t="shared" si="110"/>
        <v>0</v>
      </c>
    </row>
    <row r="191" spans="1:12">
      <c r="B191" s="377">
        <f t="shared" si="109"/>
        <v>7</v>
      </c>
      <c r="C191" s="385" t="str">
        <f>+Model!B554</f>
        <v>General Partners Cash Flow (w/o Carried Interest)</v>
      </c>
      <c r="D191" s="398" t="str">
        <f>+Model!C554</f>
        <v>USD M</v>
      </c>
      <c r="E191" s="387">
        <f>+Model!O554</f>
        <v>-3.3395856285714234</v>
      </c>
      <c r="F191" s="387">
        <f>+Model!P554</f>
        <v>0</v>
      </c>
      <c r="G191" s="387">
        <f>+Model!Q554</f>
        <v>-0.31965266510102175</v>
      </c>
      <c r="H191" s="387">
        <f>+Model!R554</f>
        <v>-0.3093085481341003</v>
      </c>
      <c r="I191" s="387">
        <f>+Model!S554</f>
        <v>11.615220166714206</v>
      </c>
      <c r="K191" s="387">
        <f t="shared" si="110"/>
        <v>7.6466733249076597</v>
      </c>
    </row>
    <row r="192" spans="1:12">
      <c r="B192" s="377">
        <f t="shared" si="109"/>
        <v>8</v>
      </c>
      <c r="C192" s="184" t="str">
        <f>+Model!B555</f>
        <v>Step 2 Carried Interest Catch-up</v>
      </c>
      <c r="D192" s="182" t="str">
        <f>+Model!C555</f>
        <v>USD M</v>
      </c>
      <c r="E192" s="201">
        <f>+Model!O555</f>
        <v>0</v>
      </c>
      <c r="F192" s="201">
        <f>+Model!P555</f>
        <v>0</v>
      </c>
      <c r="G192" s="201">
        <f>+Model!Q555</f>
        <v>0</v>
      </c>
      <c r="H192" s="201">
        <f>+Model!R555</f>
        <v>0</v>
      </c>
      <c r="I192" s="201">
        <f>+Model!S555</f>
        <v>4.1713727653851045</v>
      </c>
      <c r="K192" s="201">
        <f t="shared" si="110"/>
        <v>4.1713727653851045</v>
      </c>
    </row>
    <row r="193" spans="2:11">
      <c r="B193" s="377">
        <f t="shared" si="109"/>
        <v>9</v>
      </c>
      <c r="C193" s="184" t="str">
        <f>+Model!B556</f>
        <v>Step 3 Carried Interest</v>
      </c>
      <c r="D193" s="182" t="str">
        <f>+Model!C556</f>
        <v>USD M</v>
      </c>
      <c r="E193" s="201">
        <f>+Model!O556</f>
        <v>0</v>
      </c>
      <c r="F193" s="201">
        <f>+Model!P556</f>
        <v>0</v>
      </c>
      <c r="G193" s="201">
        <f>+Model!Q556</f>
        <v>0</v>
      </c>
      <c r="H193" s="201">
        <f>+Model!R556</f>
        <v>0</v>
      </c>
      <c r="I193" s="201">
        <f>+Model!S556</f>
        <v>11.47127510480904</v>
      </c>
      <c r="K193" s="201">
        <f t="shared" si="110"/>
        <v>11.47127510480904</v>
      </c>
    </row>
    <row r="194" spans="2:11">
      <c r="B194" s="377">
        <f t="shared" si="109"/>
        <v>10</v>
      </c>
      <c r="C194" s="184" t="str">
        <f>+Model!B557</f>
        <v>Step 4 Carried Interest</v>
      </c>
      <c r="D194" s="182" t="str">
        <f>+Model!C557</f>
        <v>USD M</v>
      </c>
      <c r="E194" s="201">
        <f>+Model!O557</f>
        <v>0</v>
      </c>
      <c r="F194" s="201">
        <f>+Model!P557</f>
        <v>0</v>
      </c>
      <c r="G194" s="201">
        <f>+Model!Q557</f>
        <v>0</v>
      </c>
      <c r="H194" s="201">
        <f>+Model!R557</f>
        <v>0</v>
      </c>
      <c r="I194" s="201">
        <f>+Model!S557</f>
        <v>4.6320472560999999</v>
      </c>
      <c r="K194" s="201">
        <f t="shared" si="110"/>
        <v>4.6320472560999999</v>
      </c>
    </row>
    <row r="195" spans="2:11">
      <c r="B195" s="377">
        <f t="shared" si="109"/>
        <v>11</v>
      </c>
      <c r="C195" s="184" t="str">
        <f>+Model!B558</f>
        <v>Step 5 Carried Interest</v>
      </c>
      <c r="D195" s="182" t="str">
        <f>+Model!C558</f>
        <v>USD M</v>
      </c>
      <c r="E195" s="201">
        <f>+Model!O558</f>
        <v>0</v>
      </c>
      <c r="F195" s="201">
        <f>+Model!P558</f>
        <v>0</v>
      </c>
      <c r="G195" s="201">
        <f>+Model!Q558</f>
        <v>0</v>
      </c>
      <c r="H195" s="201">
        <f>+Model!R558</f>
        <v>0</v>
      </c>
      <c r="I195" s="201">
        <f>+Model!S558</f>
        <v>0</v>
      </c>
      <c r="K195" s="201">
        <f t="shared" si="110"/>
        <v>0</v>
      </c>
    </row>
    <row r="196" spans="2:11">
      <c r="B196" s="377">
        <f t="shared" si="109"/>
        <v>12</v>
      </c>
      <c r="C196" s="385" t="str">
        <f>+Model!B559</f>
        <v>General Partners Cash Flow (Carried Interest Inc.)</v>
      </c>
      <c r="D196" s="398" t="str">
        <f>+Model!C559</f>
        <v>USD M</v>
      </c>
      <c r="E196" s="387">
        <f>+Model!O559</f>
        <v>-3.3395856285714234</v>
      </c>
      <c r="F196" s="387">
        <f>+Model!P559</f>
        <v>0</v>
      </c>
      <c r="G196" s="387">
        <f>+Model!Q559</f>
        <v>-0.31965266510102175</v>
      </c>
      <c r="H196" s="387">
        <f>+Model!R559</f>
        <v>-0.3093085481341003</v>
      </c>
      <c r="I196" s="387">
        <f>+Model!S559</f>
        <v>31.88991529300835</v>
      </c>
      <c r="K196" s="387">
        <f t="shared" si="110"/>
        <v>27.921368451201804</v>
      </c>
    </row>
    <row r="197" spans="2:11">
      <c r="B197" s="377">
        <f t="shared" si="109"/>
        <v>13</v>
      </c>
      <c r="C197" s="401" t="s">
        <v>891</v>
      </c>
      <c r="D197" s="182" t="str">
        <f>+D195</f>
        <v>USD M</v>
      </c>
      <c r="E197" s="405">
        <f>SUM($E$196:E196)</f>
        <v>-3.3395856285714234</v>
      </c>
      <c r="F197" s="405">
        <f>SUM($E$196:F196)</f>
        <v>-3.3395856285714234</v>
      </c>
      <c r="G197" s="405">
        <f>SUM($E$196:G196)</f>
        <v>-3.6592382936724452</v>
      </c>
      <c r="H197" s="405">
        <f>SUM($E$196:H196)</f>
        <v>-3.9685468418065457</v>
      </c>
      <c r="I197" s="405">
        <f>SUM($E$196:I196)</f>
        <v>27.921368451201804</v>
      </c>
    </row>
    <row r="198" spans="2:11" ht="17" thickBot="1">
      <c r="B198" s="377">
        <f t="shared" si="109"/>
        <v>14</v>
      </c>
    </row>
    <row r="199" spans="2:11">
      <c r="B199" s="377">
        <f t="shared" si="109"/>
        <v>15</v>
      </c>
      <c r="C199" s="411" t="str">
        <f>+Model!B564</f>
        <v>GPs IRR  (Carried Interest Inc)</v>
      </c>
      <c r="D199" s="412" t="str">
        <f>+Model!C564</f>
        <v>%</v>
      </c>
      <c r="E199" s="413">
        <f>+Model!D564</f>
        <v>0.73681686632134347</v>
      </c>
    </row>
    <row r="200" spans="2:11">
      <c r="B200" s="377">
        <f t="shared" si="109"/>
        <v>16</v>
      </c>
      <c r="C200" s="424" t="str">
        <f>+Model!B565</f>
        <v>GPs MoIC (Carried Interest Inc)</v>
      </c>
      <c r="D200" s="425" t="str">
        <f>+Model!C565</f>
        <v>%</v>
      </c>
      <c r="E200" s="426">
        <f>+Model!D565</f>
        <v>7.6935682859366983</v>
      </c>
    </row>
    <row r="201" spans="2:11" ht="17" thickBot="1">
      <c r="B201" s="377">
        <f t="shared" si="109"/>
        <v>17</v>
      </c>
      <c r="C201" s="414" t="str">
        <f>+Model!B582</f>
        <v>Carried Interest / Total Distributions</v>
      </c>
      <c r="D201" s="415" t="s">
        <v>14</v>
      </c>
      <c r="E201" s="427">
        <f>+Model!D582</f>
        <v>0.20957613988936974</v>
      </c>
    </row>
    <row r="202" spans="2:11">
      <c r="B202" s="377"/>
      <c r="C202" s="377"/>
      <c r="D202" s="377"/>
      <c r="E202" s="377"/>
    </row>
    <row r="203" spans="2:11">
      <c r="B203" s="377"/>
      <c r="C203" s="428" t="s">
        <v>771</v>
      </c>
      <c r="D203" s="406">
        <f>+K186</f>
        <v>-4.1713727653851063</v>
      </c>
      <c r="E203" s="377"/>
    </row>
    <row r="204" spans="2:11">
      <c r="B204" s="377"/>
      <c r="C204" s="377" t="s">
        <v>905</v>
      </c>
      <c r="D204" s="406">
        <f t="shared" ref="D204:D212" si="111">+K187</f>
        <v>5.8399218715391488</v>
      </c>
      <c r="E204" s="377"/>
    </row>
    <row r="205" spans="2:11">
      <c r="B205" s="377"/>
      <c r="C205" s="377" t="s">
        <v>902</v>
      </c>
      <c r="D205" s="406">
        <f t="shared" si="111"/>
        <v>4.5885100419236178</v>
      </c>
      <c r="E205" s="377"/>
    </row>
    <row r="206" spans="2:11">
      <c r="B206" s="377"/>
      <c r="C206" s="377" t="s">
        <v>903</v>
      </c>
      <c r="D206" s="406">
        <f t="shared" si="111"/>
        <v>1.3896141768299994</v>
      </c>
      <c r="E206" s="377"/>
    </row>
    <row r="207" spans="2:11">
      <c r="B207" s="377"/>
      <c r="C207" s="377" t="s">
        <v>906</v>
      </c>
      <c r="D207" s="406">
        <f t="shared" si="111"/>
        <v>0</v>
      </c>
      <c r="E207" s="377"/>
    </row>
    <row r="208" spans="2:11">
      <c r="B208" s="377"/>
      <c r="C208" s="429" t="s">
        <v>910</v>
      </c>
      <c r="D208" s="430">
        <f>SUM(D203:D207)</f>
        <v>7.6466733249076597</v>
      </c>
      <c r="E208" s="377"/>
    </row>
    <row r="209" spans="1:16">
      <c r="B209" s="377"/>
      <c r="C209" s="377" t="s">
        <v>912</v>
      </c>
      <c r="D209" s="406">
        <f t="shared" si="111"/>
        <v>4.1713727653851045</v>
      </c>
      <c r="E209" s="377"/>
    </row>
    <row r="210" spans="1:16">
      <c r="B210" s="377"/>
      <c r="C210" s="377" t="s">
        <v>907</v>
      </c>
      <c r="D210" s="406">
        <f t="shared" si="111"/>
        <v>11.47127510480904</v>
      </c>
      <c r="E210" s="377"/>
    </row>
    <row r="211" spans="1:16">
      <c r="B211" s="377"/>
      <c r="C211" s="377" t="s">
        <v>908</v>
      </c>
      <c r="D211" s="406">
        <f t="shared" si="111"/>
        <v>4.6320472560999999</v>
      </c>
      <c r="E211" s="377"/>
    </row>
    <row r="212" spans="1:16">
      <c r="B212" s="377"/>
      <c r="C212" s="377" t="s">
        <v>909</v>
      </c>
      <c r="D212" s="406">
        <f t="shared" si="111"/>
        <v>0</v>
      </c>
      <c r="E212" s="377"/>
    </row>
    <row r="213" spans="1:16">
      <c r="B213" s="377"/>
      <c r="C213" s="429" t="s">
        <v>911</v>
      </c>
      <c r="D213" s="406">
        <f>+SUM(D208:D212)</f>
        <v>27.921368451201808</v>
      </c>
      <c r="E213" s="377"/>
    </row>
    <row r="214" spans="1:16">
      <c r="B214" s="377"/>
      <c r="C214" s="377"/>
      <c r="D214" s="377"/>
      <c r="E214" s="377"/>
    </row>
    <row r="215" spans="1:16">
      <c r="B215" s="377"/>
      <c r="C215" s="377"/>
      <c r="D215" s="377"/>
      <c r="E215" s="377"/>
    </row>
    <row r="216" spans="1:16">
      <c r="B216" s="377"/>
      <c r="C216" s="377"/>
      <c r="D216" s="377"/>
      <c r="E216" s="377"/>
    </row>
    <row r="217" spans="1:16">
      <c r="B217" s="377"/>
      <c r="C217" s="377"/>
      <c r="D217" s="377"/>
      <c r="E217" s="377"/>
    </row>
    <row r="218" spans="1:16">
      <c r="B218" s="377"/>
      <c r="C218" s="377"/>
      <c r="D218" s="377"/>
      <c r="E218" s="377"/>
    </row>
    <row r="219" spans="1:16">
      <c r="B219" s="377"/>
      <c r="C219" s="377"/>
      <c r="D219" s="377"/>
      <c r="E219" s="377"/>
    </row>
    <row r="220" spans="1:16">
      <c r="B220" s="377"/>
      <c r="C220" s="377"/>
      <c r="D220" s="377"/>
      <c r="E220" s="377"/>
    </row>
    <row r="222" spans="1:16">
      <c r="A222" s="177" t="s">
        <v>10</v>
      </c>
      <c r="B222" s="178" t="s">
        <v>451</v>
      </c>
      <c r="C222" s="178"/>
      <c r="D222" s="179"/>
      <c r="E222" s="179"/>
      <c r="F222" s="179"/>
      <c r="G222" s="179"/>
      <c r="H222" s="179"/>
      <c r="I222" s="179"/>
      <c r="J222" s="375"/>
      <c r="K222" s="179"/>
      <c r="L222" s="179"/>
      <c r="M222" s="179"/>
      <c r="N222" s="179"/>
      <c r="O222" s="179"/>
      <c r="P222" s="179"/>
    </row>
    <row r="224" spans="1:16">
      <c r="B224" s="377">
        <v>1</v>
      </c>
      <c r="C224" s="378" t="s">
        <v>715</v>
      </c>
      <c r="D224" s="379" t="s">
        <v>12</v>
      </c>
      <c r="E224" s="395">
        <v>2024</v>
      </c>
      <c r="F224" s="395">
        <f>+E224+1</f>
        <v>2025</v>
      </c>
      <c r="G224" s="395">
        <f t="shared" ref="G224:J224" si="112">+F224+1</f>
        <v>2026</v>
      </c>
      <c r="H224" s="395">
        <f t="shared" si="112"/>
        <v>2027</v>
      </c>
      <c r="I224" s="395">
        <f t="shared" si="112"/>
        <v>2028</v>
      </c>
      <c r="J224" s="431">
        <f t="shared" si="112"/>
        <v>2029</v>
      </c>
      <c r="K224" s="395">
        <f t="shared" ref="K224" si="113">+J224+1</f>
        <v>2030</v>
      </c>
      <c r="L224" s="395">
        <f t="shared" ref="L224" si="114">+K224+1</f>
        <v>2031</v>
      </c>
      <c r="M224" s="395">
        <f t="shared" ref="M224" si="115">+L224+1</f>
        <v>2032</v>
      </c>
      <c r="N224" s="395">
        <f t="shared" ref="N224" si="116">+M224+1</f>
        <v>2033</v>
      </c>
      <c r="P224" s="395" t="s">
        <v>411</v>
      </c>
    </row>
    <row r="225" spans="2:16">
      <c r="B225" s="377">
        <f>+B224+1</f>
        <v>2</v>
      </c>
      <c r="C225" s="180" t="str">
        <f>+Model!B127</f>
        <v>Sr. Debt BOP</v>
      </c>
      <c r="D225" s="182" t="s">
        <v>67</v>
      </c>
      <c r="E225" s="201">
        <v>0</v>
      </c>
      <c r="F225" s="201">
        <f>+Model!P127</f>
        <v>21.358342514285692</v>
      </c>
      <c r="G225" s="201">
        <f>+Model!Q127</f>
        <v>21.358342514285692</v>
      </c>
      <c r="H225" s="201">
        <f>+Model!R127</f>
        <v>21.358342514285692</v>
      </c>
      <c r="I225" s="201">
        <f>+Model!S127</f>
        <v>21.358342514285692</v>
      </c>
      <c r="J225" s="397">
        <f>+Model!T127</f>
        <v>21.358342514285692</v>
      </c>
      <c r="K225" s="201">
        <f>+Model!U127</f>
        <v>21.358342514285692</v>
      </c>
      <c r="L225" s="201">
        <f>+Model!V127</f>
        <v>21.358342514285692</v>
      </c>
      <c r="M225" s="201">
        <f>+Model!W127</f>
        <v>21.358342514285692</v>
      </c>
      <c r="N225" s="201">
        <f>+Model!X127</f>
        <v>21.358342514285692</v>
      </c>
      <c r="P225" s="201"/>
    </row>
    <row r="226" spans="2:16">
      <c r="B226" s="377">
        <f t="shared" ref="B226:B230" si="117">+B225+1</f>
        <v>3</v>
      </c>
      <c r="C226" s="184" t="str">
        <f>+Model!B128</f>
        <v>Disbursements</v>
      </c>
      <c r="D226" s="182" t="s">
        <v>67</v>
      </c>
      <c r="E226" s="201">
        <f>+Model!O127</f>
        <v>21.358342514285692</v>
      </c>
      <c r="F226" s="201">
        <f>+Model!P128</f>
        <v>0</v>
      </c>
      <c r="G226" s="201">
        <f>+Model!Q128</f>
        <v>0</v>
      </c>
      <c r="H226" s="201">
        <f>+Model!R128</f>
        <v>0</v>
      </c>
      <c r="I226" s="201">
        <f>+Model!S128</f>
        <v>0</v>
      </c>
      <c r="J226" s="397">
        <f>+Model!T128</f>
        <v>0</v>
      </c>
      <c r="K226" s="201">
        <f>+Model!U128</f>
        <v>0</v>
      </c>
      <c r="L226" s="201">
        <f>+Model!V128</f>
        <v>0</v>
      </c>
      <c r="M226" s="201">
        <f>+Model!W128</f>
        <v>0</v>
      </c>
      <c r="N226" s="201">
        <f>+Model!X128</f>
        <v>0</v>
      </c>
      <c r="P226" s="201">
        <f t="shared" ref="P226:P229" si="118">+SUM(E226:N226)</f>
        <v>21.358342514285692</v>
      </c>
    </row>
    <row r="227" spans="2:16">
      <c r="B227" s="377">
        <f t="shared" si="117"/>
        <v>4</v>
      </c>
      <c r="C227" s="216" t="str">
        <f>+Model!B129</f>
        <v>Amortization</v>
      </c>
      <c r="D227" s="182" t="s">
        <v>67</v>
      </c>
      <c r="E227" s="201">
        <f>+Model!O129</f>
        <v>0</v>
      </c>
      <c r="F227" s="201">
        <f>+Model!P129</f>
        <v>0</v>
      </c>
      <c r="G227" s="201">
        <f>+Model!Q129</f>
        <v>0</v>
      </c>
      <c r="H227" s="201">
        <f>+Model!R129</f>
        <v>0</v>
      </c>
      <c r="I227" s="201">
        <f>+Model!S129</f>
        <v>0</v>
      </c>
      <c r="J227" s="397">
        <f>+Model!T129</f>
        <v>0</v>
      </c>
      <c r="K227" s="201">
        <f>+Model!U129</f>
        <v>0</v>
      </c>
      <c r="L227" s="201">
        <f>+Model!V129</f>
        <v>0</v>
      </c>
      <c r="M227" s="201">
        <f>+Model!W129</f>
        <v>0</v>
      </c>
      <c r="N227" s="201">
        <f>+Model!X129</f>
        <v>0</v>
      </c>
      <c r="P227" s="201">
        <f t="shared" si="118"/>
        <v>0</v>
      </c>
    </row>
    <row r="228" spans="2:16" s="213" customFormat="1">
      <c r="B228" s="377">
        <f t="shared" si="117"/>
        <v>5</v>
      </c>
      <c r="C228" s="385" t="str">
        <f>+Model!B130</f>
        <v>Sr. Debt EOP</v>
      </c>
      <c r="D228" s="398" t="s">
        <v>67</v>
      </c>
      <c r="E228" s="387">
        <f>+SUM(E225:E227)</f>
        <v>21.358342514285692</v>
      </c>
      <c r="F228" s="387">
        <f>+SUM(F225:F227)</f>
        <v>21.358342514285692</v>
      </c>
      <c r="G228" s="387">
        <f t="shared" ref="G228:J228" si="119">+SUM(G225:G227)</f>
        <v>21.358342514285692</v>
      </c>
      <c r="H228" s="387">
        <f t="shared" si="119"/>
        <v>21.358342514285692</v>
      </c>
      <c r="I228" s="387">
        <f t="shared" si="119"/>
        <v>21.358342514285692</v>
      </c>
      <c r="J228" s="400">
        <f t="shared" si="119"/>
        <v>21.358342514285692</v>
      </c>
      <c r="K228" s="387">
        <f t="shared" ref="K228:N228" si="120">+SUM(K225:K227)</f>
        <v>21.358342514285692</v>
      </c>
      <c r="L228" s="387">
        <f t="shared" si="120"/>
        <v>21.358342514285692</v>
      </c>
      <c r="M228" s="387">
        <f t="shared" si="120"/>
        <v>21.358342514285692</v>
      </c>
      <c r="N228" s="387">
        <f t="shared" si="120"/>
        <v>21.358342514285692</v>
      </c>
      <c r="O228" s="180"/>
      <c r="P228" s="180"/>
    </row>
    <row r="229" spans="2:16">
      <c r="B229" s="377">
        <f t="shared" si="117"/>
        <v>6</v>
      </c>
      <c r="C229" s="184" t="str">
        <f t="shared" ref="C229:N229" si="121">+C95</f>
        <v>EBITDA</v>
      </c>
      <c r="D229" s="182" t="str">
        <f t="shared" si="121"/>
        <v>USD M</v>
      </c>
      <c r="E229" s="201">
        <f t="shared" si="121"/>
        <v>3.474405829971019</v>
      </c>
      <c r="F229" s="201">
        <f t="shared" si="121"/>
        <v>7.1239007591890768</v>
      </c>
      <c r="G229" s="201">
        <f t="shared" si="121"/>
        <v>10.072002036550074</v>
      </c>
      <c r="H229" s="201">
        <f t="shared" si="121"/>
        <v>13.024441684564323</v>
      </c>
      <c r="I229" s="201">
        <f t="shared" si="121"/>
        <v>15.981349854351407</v>
      </c>
      <c r="J229" s="397">
        <f t="shared" si="121"/>
        <v>18.942860601564519</v>
      </c>
      <c r="K229" s="201">
        <f t="shared" si="121"/>
        <v>21.909112003526445</v>
      </c>
      <c r="L229" s="201">
        <f t="shared" si="121"/>
        <v>24.880246279879657</v>
      </c>
      <c r="M229" s="201">
        <f t="shared" si="121"/>
        <v>27.856409916855796</v>
      </c>
      <c r="N229" s="201">
        <f t="shared" si="121"/>
        <v>30.837753795273727</v>
      </c>
      <c r="P229" s="201">
        <f t="shared" si="118"/>
        <v>174.10248276172604</v>
      </c>
    </row>
    <row r="230" spans="2:16" s="213" customFormat="1">
      <c r="B230" s="377">
        <f t="shared" si="117"/>
        <v>7</v>
      </c>
      <c r="C230" s="385" t="s">
        <v>401</v>
      </c>
      <c r="D230" s="398" t="s">
        <v>14</v>
      </c>
      <c r="E230" s="432">
        <f t="shared" ref="E230:J230" si="122">+E228/E229</f>
        <v>6.1473367129549885</v>
      </c>
      <c r="F230" s="432">
        <f t="shared" si="122"/>
        <v>2.9981246561774029</v>
      </c>
      <c r="G230" s="432">
        <f t="shared" si="122"/>
        <v>2.120565746192153</v>
      </c>
      <c r="H230" s="432">
        <f t="shared" si="122"/>
        <v>1.639866263104248</v>
      </c>
      <c r="I230" s="432">
        <f t="shared" si="122"/>
        <v>1.336454223763222</v>
      </c>
      <c r="J230" s="433">
        <f t="shared" si="122"/>
        <v>1.1275141048401991</v>
      </c>
      <c r="K230" s="432">
        <f t="shared" ref="K230" si="123">+K228/K229</f>
        <v>0.97486116784869681</v>
      </c>
      <c r="L230" s="432">
        <f t="shared" ref="L230" si="124">+L228/L229</f>
        <v>0.85844578361581236</v>
      </c>
      <c r="M230" s="432">
        <f t="shared" ref="M230" si="125">+M228/M229</f>
        <v>0.7667299044648912</v>
      </c>
      <c r="N230" s="432">
        <f t="shared" ref="N230" si="126">+N228/N229</f>
        <v>0.69260370440985641</v>
      </c>
      <c r="O230" s="180"/>
      <c r="P230" s="180"/>
    </row>
    <row r="231" spans="2:16">
      <c r="E231" s="201"/>
    </row>
    <row r="232" spans="2:16">
      <c r="E232" s="180">
        <f>+E224</f>
        <v>2024</v>
      </c>
      <c r="F232" s="180">
        <f t="shared" ref="F232:J232" si="127">+F224</f>
        <v>2025</v>
      </c>
      <c r="G232" s="180">
        <f t="shared" si="127"/>
        <v>2026</v>
      </c>
      <c r="H232" s="180">
        <f t="shared" si="127"/>
        <v>2027</v>
      </c>
      <c r="I232" s="180">
        <f t="shared" si="127"/>
        <v>2028</v>
      </c>
      <c r="J232" s="372">
        <f t="shared" si="127"/>
        <v>2029</v>
      </c>
      <c r="K232" s="180">
        <f t="shared" ref="K232:N232" si="128">+K224</f>
        <v>2030</v>
      </c>
      <c r="L232" s="180">
        <f t="shared" si="128"/>
        <v>2031</v>
      </c>
      <c r="M232" s="180">
        <f t="shared" si="128"/>
        <v>2032</v>
      </c>
      <c r="N232" s="180">
        <f t="shared" si="128"/>
        <v>2033</v>
      </c>
    </row>
    <row r="233" spans="2:16">
      <c r="D233" s="180" t="s">
        <v>455</v>
      </c>
      <c r="E233" s="201">
        <f>+E228</f>
        <v>21.358342514285692</v>
      </c>
      <c r="F233" s="201">
        <f t="shared" ref="F233:J233" si="129">+F228</f>
        <v>21.358342514285692</v>
      </c>
      <c r="G233" s="201">
        <f t="shared" si="129"/>
        <v>21.358342514285692</v>
      </c>
      <c r="H233" s="201">
        <f t="shared" si="129"/>
        <v>21.358342514285692</v>
      </c>
      <c r="I233" s="201">
        <f t="shared" si="129"/>
        <v>21.358342514285692</v>
      </c>
      <c r="J233" s="397">
        <f t="shared" si="129"/>
        <v>21.358342514285692</v>
      </c>
      <c r="K233" s="201">
        <f t="shared" ref="K233:N233" si="130">+K228</f>
        <v>21.358342514285692</v>
      </c>
      <c r="L233" s="201">
        <f t="shared" si="130"/>
        <v>21.358342514285692</v>
      </c>
      <c r="M233" s="201">
        <f t="shared" si="130"/>
        <v>21.358342514285692</v>
      </c>
      <c r="N233" s="201">
        <f t="shared" si="130"/>
        <v>21.358342514285692</v>
      </c>
    </row>
    <row r="234" spans="2:16">
      <c r="D234" s="180" t="str">
        <f>+C229</f>
        <v>EBITDA</v>
      </c>
      <c r="E234" s="201">
        <f>+E229</f>
        <v>3.474405829971019</v>
      </c>
      <c r="F234" s="201">
        <f t="shared" ref="F234:J234" si="131">+F229</f>
        <v>7.1239007591890768</v>
      </c>
      <c r="G234" s="201">
        <f t="shared" si="131"/>
        <v>10.072002036550074</v>
      </c>
      <c r="H234" s="201">
        <f t="shared" si="131"/>
        <v>13.024441684564323</v>
      </c>
      <c r="I234" s="201">
        <f t="shared" si="131"/>
        <v>15.981349854351407</v>
      </c>
      <c r="J234" s="397">
        <f t="shared" si="131"/>
        <v>18.942860601564519</v>
      </c>
      <c r="K234" s="201">
        <f t="shared" ref="K234:N234" si="132">+K229</f>
        <v>21.909112003526445</v>
      </c>
      <c r="L234" s="201">
        <f t="shared" si="132"/>
        <v>24.880246279879657</v>
      </c>
      <c r="M234" s="201">
        <f t="shared" si="132"/>
        <v>27.856409916855796</v>
      </c>
      <c r="N234" s="201">
        <f t="shared" si="132"/>
        <v>30.837753795273727</v>
      </c>
    </row>
    <row r="235" spans="2:16">
      <c r="D235" s="180" t="str">
        <f>+C230</f>
        <v>Debt/EBITDA</v>
      </c>
      <c r="E235" s="206">
        <f>+E230</f>
        <v>6.1473367129549885</v>
      </c>
      <c r="F235" s="206">
        <f t="shared" ref="F235:J235" si="133">+F230</f>
        <v>2.9981246561774029</v>
      </c>
      <c r="G235" s="206">
        <f t="shared" si="133"/>
        <v>2.120565746192153</v>
      </c>
      <c r="H235" s="206">
        <f t="shared" si="133"/>
        <v>1.639866263104248</v>
      </c>
      <c r="I235" s="206">
        <f t="shared" si="133"/>
        <v>1.336454223763222</v>
      </c>
      <c r="J235" s="434">
        <f t="shared" si="133"/>
        <v>1.1275141048401991</v>
      </c>
      <c r="K235" s="206">
        <f t="shared" ref="K235:N235" si="134">+K230</f>
        <v>0.97486116784869681</v>
      </c>
      <c r="L235" s="206">
        <f t="shared" si="134"/>
        <v>0.85844578361581236</v>
      </c>
      <c r="M235" s="206">
        <f t="shared" si="134"/>
        <v>0.7667299044648912</v>
      </c>
      <c r="N235" s="206">
        <f t="shared" si="134"/>
        <v>0.69260370440985641</v>
      </c>
    </row>
    <row r="236" spans="2:16">
      <c r="E236" s="201"/>
    </row>
    <row r="237" spans="2:16">
      <c r="E237" s="201"/>
    </row>
    <row r="238" spans="2:16">
      <c r="E238" s="201"/>
    </row>
    <row r="239" spans="2:16">
      <c r="E239" s="201"/>
    </row>
    <row r="240" spans="2:16">
      <c r="E240" s="201"/>
    </row>
    <row r="241" spans="2:16">
      <c r="E241" s="201"/>
    </row>
    <row r="242" spans="2:16">
      <c r="E242" s="201"/>
    </row>
    <row r="243" spans="2:16">
      <c r="B243" s="377">
        <v>1</v>
      </c>
      <c r="C243" s="378" t="s">
        <v>454</v>
      </c>
      <c r="D243" s="379" t="s">
        <v>12</v>
      </c>
      <c r="E243" s="395">
        <v>2024</v>
      </c>
      <c r="F243" s="395">
        <f>+E243+1</f>
        <v>2025</v>
      </c>
      <c r="G243" s="395">
        <f t="shared" ref="G243:J243" si="135">+F243+1</f>
        <v>2026</v>
      </c>
      <c r="H243" s="395">
        <f t="shared" si="135"/>
        <v>2027</v>
      </c>
      <c r="I243" s="395">
        <f t="shared" si="135"/>
        <v>2028</v>
      </c>
      <c r="J243" s="431">
        <f t="shared" si="135"/>
        <v>2029</v>
      </c>
      <c r="K243" s="395">
        <f t="shared" ref="K243" si="136">+J243+1</f>
        <v>2030</v>
      </c>
      <c r="L243" s="395">
        <f t="shared" ref="L243" si="137">+K243+1</f>
        <v>2031</v>
      </c>
      <c r="M243" s="395">
        <f t="shared" ref="M243" si="138">+L243+1</f>
        <v>2032</v>
      </c>
      <c r="N243" s="395">
        <f t="shared" ref="N243" si="139">+M243+1</f>
        <v>2033</v>
      </c>
      <c r="P243" s="395" t="s">
        <v>411</v>
      </c>
    </row>
    <row r="244" spans="2:16">
      <c r="B244" s="377">
        <f>+B243+1</f>
        <v>2</v>
      </c>
      <c r="C244" s="184" t="s">
        <v>437</v>
      </c>
      <c r="D244" s="182" t="s">
        <v>67</v>
      </c>
      <c r="E244" s="201">
        <f>+Model!O136</f>
        <v>2.1270951223257684</v>
      </c>
      <c r="F244" s="201">
        <f>+Model!P136</f>
        <v>4.2182726465714246</v>
      </c>
      <c r="G244" s="201">
        <f>+Model!Q136</f>
        <v>4.1221601052571391</v>
      </c>
      <c r="H244" s="201">
        <f>+Model!R136</f>
        <v>4.0281833981942814</v>
      </c>
      <c r="I244" s="201">
        <f>+Model!S136</f>
        <v>4.0324550666971382</v>
      </c>
      <c r="J244" s="397">
        <f>+Model!T136</f>
        <v>4.0580850777142814</v>
      </c>
      <c r="K244" s="201">
        <f>+Model!U136</f>
        <v>4.0580850777142814</v>
      </c>
      <c r="L244" s="201">
        <f>+Model!V136</f>
        <v>4.0580850777142814</v>
      </c>
      <c r="M244" s="201">
        <f>+Model!W136</f>
        <v>4.0580850777142814</v>
      </c>
      <c r="N244" s="201">
        <f>+Model!X136</f>
        <v>4.0580850777142814</v>
      </c>
      <c r="P244" s="201">
        <f t="shared" ref="P244:P246" si="140">+SUM(E244:N244)</f>
        <v>38.818591727617161</v>
      </c>
    </row>
    <row r="245" spans="2:16">
      <c r="B245" s="377">
        <f t="shared" ref="B245:B248" si="141">+B244+1</f>
        <v>3</v>
      </c>
      <c r="C245" s="216" t="s">
        <v>379</v>
      </c>
      <c r="D245" s="208" t="s">
        <v>67</v>
      </c>
      <c r="E245" s="294">
        <f>+Model!O135</f>
        <v>0</v>
      </c>
      <c r="F245" s="294">
        <f>+Model!P135</f>
        <v>0</v>
      </c>
      <c r="G245" s="294">
        <f>+Model!Q135</f>
        <v>0</v>
      </c>
      <c r="H245" s="294">
        <f>+Model!R135</f>
        <v>0</v>
      </c>
      <c r="I245" s="294">
        <f>+Model!S135</f>
        <v>0</v>
      </c>
      <c r="J245" s="435">
        <f>+Model!T135</f>
        <v>0</v>
      </c>
      <c r="K245" s="294">
        <f>+Model!U135</f>
        <v>0</v>
      </c>
      <c r="L245" s="294">
        <f>+Model!V135</f>
        <v>0</v>
      </c>
      <c r="M245" s="294">
        <f>+Model!W135</f>
        <v>0</v>
      </c>
      <c r="N245" s="294">
        <f>+Model!X135</f>
        <v>0</v>
      </c>
      <c r="P245" s="201">
        <f t="shared" si="140"/>
        <v>0</v>
      </c>
    </row>
    <row r="246" spans="2:16" s="213" customFormat="1">
      <c r="B246" s="377">
        <f t="shared" si="141"/>
        <v>4</v>
      </c>
      <c r="C246" s="385" t="s">
        <v>452</v>
      </c>
      <c r="D246" s="398" t="s">
        <v>67</v>
      </c>
      <c r="E246" s="387">
        <f>+SUM(E244:E245)</f>
        <v>2.1270951223257684</v>
      </c>
      <c r="F246" s="387">
        <f t="shared" ref="F246:N246" si="142">+SUM(F244:F245)</f>
        <v>4.2182726465714246</v>
      </c>
      <c r="G246" s="387">
        <f t="shared" si="142"/>
        <v>4.1221601052571391</v>
      </c>
      <c r="H246" s="387">
        <f t="shared" si="142"/>
        <v>4.0281833981942814</v>
      </c>
      <c r="I246" s="387">
        <f t="shared" si="142"/>
        <v>4.0324550666971382</v>
      </c>
      <c r="J246" s="400">
        <f t="shared" si="142"/>
        <v>4.0580850777142814</v>
      </c>
      <c r="K246" s="387">
        <f t="shared" si="142"/>
        <v>4.0580850777142814</v>
      </c>
      <c r="L246" s="387">
        <f t="shared" si="142"/>
        <v>4.0580850777142814</v>
      </c>
      <c r="M246" s="387">
        <f t="shared" si="142"/>
        <v>4.0580850777142814</v>
      </c>
      <c r="N246" s="387">
        <f t="shared" si="142"/>
        <v>4.0580850777142814</v>
      </c>
      <c r="P246" s="387">
        <f t="shared" si="140"/>
        <v>38.818591727617161</v>
      </c>
    </row>
    <row r="247" spans="2:16">
      <c r="B247" s="377">
        <f t="shared" si="141"/>
        <v>5</v>
      </c>
      <c r="C247" s="216" t="s">
        <v>396</v>
      </c>
      <c r="D247" s="208" t="s">
        <v>67</v>
      </c>
      <c r="E247" s="294">
        <f>+Model!O132+E106</f>
        <v>13.709874725714121</v>
      </c>
      <c r="F247" s="294">
        <f>+Model!P132+F106</f>
        <v>6.0624480543814361</v>
      </c>
      <c r="G247" s="294">
        <f>+Model!Q132+G106</f>
        <v>-1.7973341007099304</v>
      </c>
      <c r="H247" s="294">
        <f>+Model!R132+H106</f>
        <v>-1.6997526783631312</v>
      </c>
      <c r="I247" s="294">
        <f>+Model!S132+I106</f>
        <v>0.27641944487194436</v>
      </c>
      <c r="J247" s="435">
        <f>+Model!T132+J106</f>
        <v>2.2415633922860145</v>
      </c>
      <c r="K247" s="294">
        <f>+Model!U132+K106</f>
        <v>4.184028984385602</v>
      </c>
      <c r="L247" s="294">
        <f>+Model!V132+L106</f>
        <v>6.2382942493680362</v>
      </c>
      <c r="M247" s="294">
        <f>+Model!W132+M106</f>
        <v>10.232915098225861</v>
      </c>
      <c r="N247" s="294">
        <f>+Model!X132+N106</f>
        <v>16.180037968475482</v>
      </c>
      <c r="P247" s="201">
        <f>+SUM(E247:N247)</f>
        <v>55.628495138635429</v>
      </c>
    </row>
    <row r="248" spans="2:16" s="213" customFormat="1">
      <c r="B248" s="377">
        <f t="shared" si="141"/>
        <v>6</v>
      </c>
      <c r="C248" s="385" t="s">
        <v>453</v>
      </c>
      <c r="D248" s="398" t="s">
        <v>113</v>
      </c>
      <c r="E248" s="432">
        <f>+E247/E246</f>
        <v>6.4453510244166834</v>
      </c>
      <c r="F248" s="432">
        <f t="shared" ref="F248:K248" si="143">+F247/F246</f>
        <v>1.4371873423850261</v>
      </c>
      <c r="G248" s="432">
        <f t="shared" si="143"/>
        <v>-0.43601753809070287</v>
      </c>
      <c r="H248" s="432">
        <f t="shared" si="143"/>
        <v>-0.42196506721245147</v>
      </c>
      <c r="I248" s="432">
        <f t="shared" si="143"/>
        <v>6.8548673277183267E-2</v>
      </c>
      <c r="J248" s="433">
        <f t="shared" si="143"/>
        <v>0.55236973827778302</v>
      </c>
      <c r="K248" s="432">
        <f t="shared" si="143"/>
        <v>1.0310353046472496</v>
      </c>
      <c r="L248" s="432">
        <f>IFERROR(+L247/L246,0)</f>
        <v>1.537250730307941</v>
      </c>
      <c r="M248" s="432">
        <f t="shared" ref="M248:N248" si="144">IFERROR(+M247/M246,0)</f>
        <v>2.521611770640737</v>
      </c>
      <c r="N248" s="432">
        <f t="shared" si="144"/>
        <v>3.9871115707581213</v>
      </c>
      <c r="P248" s="432">
        <f>+AVERAGEIF(E248:N248,"&lt;&gt;0",E248:N248)</f>
        <v>1.6722483549407567</v>
      </c>
    </row>
    <row r="250" spans="2:16">
      <c r="E250" s="180">
        <f>+E243</f>
        <v>2024</v>
      </c>
      <c r="F250" s="180">
        <f t="shared" ref="F250:J250" si="145">+F243</f>
        <v>2025</v>
      </c>
      <c r="G250" s="180">
        <f t="shared" si="145"/>
        <v>2026</v>
      </c>
      <c r="H250" s="180">
        <f t="shared" si="145"/>
        <v>2027</v>
      </c>
      <c r="I250" s="180">
        <f t="shared" si="145"/>
        <v>2028</v>
      </c>
      <c r="J250" s="372">
        <f t="shared" si="145"/>
        <v>2029</v>
      </c>
      <c r="K250" s="180">
        <f t="shared" ref="K250:N250" si="146">+K243</f>
        <v>2030</v>
      </c>
      <c r="L250" s="180">
        <f t="shared" si="146"/>
        <v>2031</v>
      </c>
      <c r="M250" s="180">
        <f t="shared" si="146"/>
        <v>2032</v>
      </c>
      <c r="N250" s="180">
        <f t="shared" si="146"/>
        <v>2033</v>
      </c>
    </row>
    <row r="251" spans="2:16">
      <c r="D251" s="180" t="str">
        <f>+C246</f>
        <v>Debt Service</v>
      </c>
      <c r="E251" s="201">
        <f>+E246</f>
        <v>2.1270951223257684</v>
      </c>
      <c r="F251" s="201">
        <f t="shared" ref="F251:J251" si="147">+F246</f>
        <v>4.2182726465714246</v>
      </c>
      <c r="G251" s="201">
        <f t="shared" si="147"/>
        <v>4.1221601052571391</v>
      </c>
      <c r="H251" s="201">
        <f t="shared" si="147"/>
        <v>4.0281833981942814</v>
      </c>
      <c r="I251" s="201">
        <f t="shared" si="147"/>
        <v>4.0324550666971382</v>
      </c>
      <c r="J251" s="397">
        <f t="shared" si="147"/>
        <v>4.0580850777142814</v>
      </c>
      <c r="K251" s="201">
        <f t="shared" ref="K251:N251" si="148">+K246</f>
        <v>4.0580850777142814</v>
      </c>
      <c r="L251" s="201">
        <f t="shared" si="148"/>
        <v>4.0580850777142814</v>
      </c>
      <c r="M251" s="201">
        <f>+M246</f>
        <v>4.0580850777142814</v>
      </c>
      <c r="N251" s="201">
        <f t="shared" si="148"/>
        <v>4.0580850777142814</v>
      </c>
    </row>
    <row r="252" spans="2:16">
      <c r="D252" s="180" t="str">
        <f t="shared" ref="D252:D253" si="149">+C247</f>
        <v>CFADS</v>
      </c>
      <c r="E252" s="201">
        <f>+E247</f>
        <v>13.709874725714121</v>
      </c>
      <c r="F252" s="201">
        <f t="shared" ref="F252:J252" si="150">+F247</f>
        <v>6.0624480543814361</v>
      </c>
      <c r="G252" s="201">
        <f t="shared" si="150"/>
        <v>-1.7973341007099304</v>
      </c>
      <c r="H252" s="201">
        <f t="shared" si="150"/>
        <v>-1.6997526783631312</v>
      </c>
      <c r="I252" s="201">
        <f t="shared" si="150"/>
        <v>0.27641944487194436</v>
      </c>
      <c r="J252" s="397">
        <f t="shared" si="150"/>
        <v>2.2415633922860145</v>
      </c>
      <c r="K252" s="201">
        <f t="shared" ref="K252:N252" si="151">+K247</f>
        <v>4.184028984385602</v>
      </c>
      <c r="L252" s="201">
        <f t="shared" si="151"/>
        <v>6.2382942493680362</v>
      </c>
      <c r="M252" s="201">
        <f t="shared" si="151"/>
        <v>10.232915098225861</v>
      </c>
      <c r="N252" s="201">
        <f t="shared" si="151"/>
        <v>16.180037968475482</v>
      </c>
    </row>
    <row r="253" spans="2:16">
      <c r="D253" s="180" t="str">
        <f t="shared" si="149"/>
        <v>DSCR</v>
      </c>
      <c r="E253" s="206">
        <f>+E248</f>
        <v>6.4453510244166834</v>
      </c>
      <c r="F253" s="206">
        <f t="shared" ref="F253:J253" si="152">+F248</f>
        <v>1.4371873423850261</v>
      </c>
      <c r="G253" s="206">
        <f t="shared" si="152"/>
        <v>-0.43601753809070287</v>
      </c>
      <c r="H253" s="206">
        <f t="shared" si="152"/>
        <v>-0.42196506721245147</v>
      </c>
      <c r="I253" s="206">
        <f t="shared" si="152"/>
        <v>6.8548673277183267E-2</v>
      </c>
      <c r="J253" s="434">
        <f t="shared" si="152"/>
        <v>0.55236973827778302</v>
      </c>
      <c r="K253" s="206">
        <f t="shared" ref="K253:N253" si="153">+K248</f>
        <v>1.0310353046472496</v>
      </c>
      <c r="L253" s="206">
        <f t="shared" si="153"/>
        <v>1.537250730307941</v>
      </c>
      <c r="M253" s="206">
        <f t="shared" si="153"/>
        <v>2.521611770640737</v>
      </c>
      <c r="N253" s="206">
        <f t="shared" si="153"/>
        <v>3.9871115707581213</v>
      </c>
    </row>
    <row r="261" spans="1:15">
      <c r="A261" s="177" t="s">
        <v>10</v>
      </c>
      <c r="B261" s="178" t="s">
        <v>471</v>
      </c>
      <c r="C261" s="178"/>
      <c r="D261" s="179"/>
      <c r="E261" s="179"/>
      <c r="F261" s="179"/>
      <c r="G261" s="179"/>
      <c r="H261" s="179"/>
      <c r="I261" s="179"/>
      <c r="J261" s="375"/>
      <c r="K261" s="179"/>
      <c r="L261" s="179"/>
      <c r="M261" s="179"/>
      <c r="N261" s="179"/>
    </row>
    <row r="263" spans="1:15">
      <c r="B263" s="377">
        <v>1</v>
      </c>
      <c r="C263" s="378" t="s">
        <v>456</v>
      </c>
      <c r="D263" s="379" t="s">
        <v>12</v>
      </c>
      <c r="E263" s="395">
        <v>2024</v>
      </c>
      <c r="F263" s="395">
        <f>+E263+1</f>
        <v>2025</v>
      </c>
      <c r="G263" s="395">
        <f t="shared" ref="G263" si="154">+F263+1</f>
        <v>2026</v>
      </c>
      <c r="H263" s="395">
        <f t="shared" ref="H263" si="155">+G263+1</f>
        <v>2027</v>
      </c>
      <c r="I263" s="395">
        <f t="shared" ref="I263" si="156">+H263+1</f>
        <v>2028</v>
      </c>
      <c r="J263" s="431">
        <f t="shared" ref="J263" si="157">+I263+1</f>
        <v>2029</v>
      </c>
      <c r="K263" s="395">
        <f t="shared" ref="K263" si="158">+J263+1</f>
        <v>2030</v>
      </c>
      <c r="L263" s="395">
        <f t="shared" ref="L263" si="159">+K263+1</f>
        <v>2031</v>
      </c>
      <c r="M263" s="395">
        <f t="shared" ref="M263" si="160">+L263+1</f>
        <v>2032</v>
      </c>
      <c r="N263" s="395">
        <f t="shared" ref="N263" si="161">+M263+1</f>
        <v>2033</v>
      </c>
    </row>
    <row r="264" spans="1:15">
      <c r="B264" s="377">
        <f>+B263+1</f>
        <v>2</v>
      </c>
      <c r="C264" s="184" t="s">
        <v>457</v>
      </c>
      <c r="D264" s="182" t="s">
        <v>67</v>
      </c>
      <c r="E264" s="201">
        <f>+Valuation!H26</f>
        <v>3.6506250011426991</v>
      </c>
      <c r="F264" s="201">
        <f>+Valuation!I26</f>
        <v>-5.5203315490185574</v>
      </c>
      <c r="G264" s="201">
        <f>+Valuation!J26</f>
        <v>-3.6415091007099303</v>
      </c>
      <c r="H264" s="201">
        <f>+Valuation!K26</f>
        <v>-1.6997526783631312</v>
      </c>
      <c r="I264" s="201">
        <f>+Valuation!L26</f>
        <v>0.27641944487194436</v>
      </c>
      <c r="J264" s="397">
        <f>+Valuation!M26</f>
        <v>2.2415633922860145</v>
      </c>
      <c r="K264" s="201">
        <f>+Valuation!N26</f>
        <v>4.184028984385602</v>
      </c>
      <c r="L264" s="201">
        <f>+Valuation!O26</f>
        <v>6.1123502493680366</v>
      </c>
      <c r="M264" s="201">
        <f>+Valuation!P26</f>
        <v>8.0527060982258618</v>
      </c>
      <c r="N264" s="201">
        <f>+Valuation!Q26</f>
        <v>10.005207968475482</v>
      </c>
    </row>
    <row r="265" spans="1:15">
      <c r="B265" s="377">
        <f t="shared" ref="B265:B281" si="162">+B264+1</f>
        <v>3</v>
      </c>
      <c r="C265" s="184" t="s">
        <v>458</v>
      </c>
      <c r="D265" s="182" t="s">
        <v>67</v>
      </c>
      <c r="E265" s="186">
        <v>0</v>
      </c>
      <c r="F265" s="186">
        <v>0</v>
      </c>
      <c r="G265" s="186">
        <v>0</v>
      </c>
      <c r="H265" s="186">
        <v>0</v>
      </c>
      <c r="I265" s="186">
        <v>0</v>
      </c>
      <c r="J265" s="403">
        <v>0</v>
      </c>
      <c r="K265" s="186">
        <v>0</v>
      </c>
      <c r="L265" s="186">
        <v>0</v>
      </c>
      <c r="M265" s="186">
        <v>0</v>
      </c>
      <c r="N265" s="201">
        <f>+Valuation!Q28</f>
        <v>107.3098214862402</v>
      </c>
    </row>
    <row r="266" spans="1:15">
      <c r="B266" s="377">
        <f t="shared" si="162"/>
        <v>4</v>
      </c>
      <c r="C266" s="216" t="s">
        <v>459</v>
      </c>
      <c r="D266" s="208" t="s">
        <v>14</v>
      </c>
      <c r="E266" s="293">
        <v>0</v>
      </c>
      <c r="F266" s="293">
        <v>0</v>
      </c>
      <c r="G266" s="293">
        <v>0</v>
      </c>
      <c r="H266" s="293">
        <v>0</v>
      </c>
      <c r="I266" s="293">
        <v>0</v>
      </c>
      <c r="J266" s="436">
        <v>0</v>
      </c>
      <c r="K266" s="293">
        <v>0</v>
      </c>
      <c r="L266" s="293">
        <v>0</v>
      </c>
      <c r="M266" s="293">
        <v>0</v>
      </c>
      <c r="N266" s="293">
        <v>0</v>
      </c>
    </row>
    <row r="267" spans="1:15">
      <c r="B267" s="377">
        <f t="shared" si="162"/>
        <v>5</v>
      </c>
      <c r="C267" s="184"/>
      <c r="D267" s="182"/>
    </row>
    <row r="268" spans="1:15">
      <c r="B268" s="377">
        <f t="shared" si="162"/>
        <v>6</v>
      </c>
      <c r="C268" s="184" t="s">
        <v>460</v>
      </c>
      <c r="D268" s="182" t="s">
        <v>461</v>
      </c>
      <c r="E268" s="437">
        <v>1</v>
      </c>
      <c r="F268" s="437">
        <f>+E268+1</f>
        <v>2</v>
      </c>
      <c r="G268" s="437">
        <f t="shared" ref="G268:J268" si="163">+F268+1</f>
        <v>3</v>
      </c>
      <c r="H268" s="437">
        <f t="shared" si="163"/>
        <v>4</v>
      </c>
      <c r="I268" s="437">
        <f t="shared" si="163"/>
        <v>5</v>
      </c>
      <c r="J268" s="438">
        <f t="shared" si="163"/>
        <v>6</v>
      </c>
      <c r="K268" s="437">
        <f t="shared" ref="K268:N268" si="164">+J268+1</f>
        <v>7</v>
      </c>
      <c r="L268" s="437">
        <f t="shared" si="164"/>
        <v>8</v>
      </c>
      <c r="M268" s="437">
        <f t="shared" si="164"/>
        <v>9</v>
      </c>
      <c r="N268" s="437">
        <f t="shared" si="164"/>
        <v>10</v>
      </c>
      <c r="O268" s="370"/>
    </row>
    <row r="269" spans="1:15">
      <c r="B269" s="377">
        <f t="shared" si="162"/>
        <v>7</v>
      </c>
      <c r="C269" s="184" t="s">
        <v>462</v>
      </c>
      <c r="D269" s="182" t="s">
        <v>14</v>
      </c>
      <c r="E269" s="243">
        <f>+Valuation!H18</f>
        <v>0.1151013801579529</v>
      </c>
      <c r="F269" s="243">
        <f>+E269</f>
        <v>0.1151013801579529</v>
      </c>
      <c r="G269" s="243">
        <f>+F269</f>
        <v>0.1151013801579529</v>
      </c>
      <c r="H269" s="243">
        <f t="shared" ref="H269:N269" si="165">+G269</f>
        <v>0.1151013801579529</v>
      </c>
      <c r="I269" s="243">
        <f t="shared" si="165"/>
        <v>0.1151013801579529</v>
      </c>
      <c r="J269" s="409">
        <f t="shared" si="165"/>
        <v>0.1151013801579529</v>
      </c>
      <c r="K269" s="243">
        <f t="shared" si="165"/>
        <v>0.1151013801579529</v>
      </c>
      <c r="L269" s="243">
        <f t="shared" si="165"/>
        <v>0.1151013801579529</v>
      </c>
      <c r="M269" s="243">
        <f t="shared" si="165"/>
        <v>0.1151013801579529</v>
      </c>
      <c r="N269" s="243">
        <f t="shared" si="165"/>
        <v>0.1151013801579529</v>
      </c>
      <c r="O269" s="370"/>
    </row>
    <row r="270" spans="1:15">
      <c r="B270" s="377">
        <f t="shared" si="162"/>
        <v>8</v>
      </c>
      <c r="C270" s="184" t="s">
        <v>463</v>
      </c>
      <c r="D270" s="182" t="s">
        <v>14</v>
      </c>
      <c r="E270" s="439">
        <f>1/((1+E269)^E268)</f>
        <v>0.8967794478546437</v>
      </c>
      <c r="F270" s="440">
        <f>+E270/(1+F269)</f>
        <v>0.80421337809447957</v>
      </c>
      <c r="G270" s="440">
        <f t="shared" ref="G270:N270" si="166">+F270/(1+G269)</f>
        <v>0.72120202916488518</v>
      </c>
      <c r="H270" s="440">
        <f t="shared" si="166"/>
        <v>0.64675915750613433</v>
      </c>
      <c r="I270" s="440">
        <f t="shared" si="166"/>
        <v>0.58000032016328562</v>
      </c>
      <c r="J270" s="441">
        <f t="shared" si="166"/>
        <v>0.52013236687154785</v>
      </c>
      <c r="K270" s="440">
        <f t="shared" si="166"/>
        <v>0.46644401677439562</v>
      </c>
      <c r="L270" s="440">
        <f t="shared" si="166"/>
        <v>0.41829740781804464</v>
      </c>
      <c r="M270" s="440">
        <f t="shared" si="166"/>
        <v>0.37512051842209476</v>
      </c>
      <c r="N270" s="440">
        <f t="shared" si="166"/>
        <v>0.33640037138951384</v>
      </c>
      <c r="O270" s="370"/>
    </row>
    <row r="271" spans="1:15">
      <c r="B271" s="377">
        <f t="shared" si="162"/>
        <v>9</v>
      </c>
      <c r="C271" s="385" t="s">
        <v>464</v>
      </c>
      <c r="D271" s="398" t="s">
        <v>67</v>
      </c>
      <c r="E271" s="442">
        <f>+E270*E264</f>
        <v>3.2738054728491077</v>
      </c>
      <c r="F271" s="442">
        <f t="shared" ref="F271:N271" si="167">+F270*F264</f>
        <v>-4.4395244832377454</v>
      </c>
      <c r="G271" s="442">
        <f t="shared" si="167"/>
        <v>-2.6262637526543982</v>
      </c>
      <c r="H271" s="442">
        <f t="shared" si="167"/>
        <v>-1.099330610226934</v>
      </c>
      <c r="I271" s="442">
        <f t="shared" si="167"/>
        <v>0.16032336652508541</v>
      </c>
      <c r="J271" s="442">
        <f t="shared" si="167"/>
        <v>1.1659096727223406</v>
      </c>
      <c r="K271" s="442">
        <f t="shared" si="167"/>
        <v>1.9516152857773152</v>
      </c>
      <c r="L271" s="442">
        <f t="shared" si="167"/>
        <v>2.5567802649866285</v>
      </c>
      <c r="M271" s="442">
        <f t="shared" si="167"/>
        <v>3.0207352862672492</v>
      </c>
      <c r="N271" s="442">
        <f t="shared" si="167"/>
        <v>3.3657556764244752</v>
      </c>
    </row>
    <row r="272" spans="1:15">
      <c r="B272" s="377">
        <f t="shared" si="162"/>
        <v>10</v>
      </c>
      <c r="C272" s="184"/>
      <c r="D272" s="182"/>
    </row>
    <row r="273" spans="2:14">
      <c r="B273" s="377">
        <f t="shared" si="162"/>
        <v>11</v>
      </c>
      <c r="C273" s="184" t="s">
        <v>465</v>
      </c>
      <c r="D273" s="182" t="s">
        <v>67</v>
      </c>
      <c r="E273" s="201">
        <f>+SUM(E271:N271)</f>
        <v>7.329806179433124</v>
      </c>
      <c r="F273" s="243"/>
    </row>
    <row r="274" spans="2:14">
      <c r="B274" s="377">
        <f t="shared" si="162"/>
        <v>12</v>
      </c>
      <c r="C274" s="184" t="s">
        <v>466</v>
      </c>
      <c r="D274" s="182" t="s">
        <v>67</v>
      </c>
      <c r="E274" s="201">
        <f>+N270*N265</f>
        <v>36.099063801713633</v>
      </c>
      <c r="F274" s="243"/>
      <c r="G274" s="443"/>
    </row>
    <row r="275" spans="2:14">
      <c r="B275" s="377">
        <f t="shared" si="162"/>
        <v>13</v>
      </c>
      <c r="C275" s="385" t="s">
        <v>108</v>
      </c>
      <c r="D275" s="398" t="s">
        <v>67</v>
      </c>
      <c r="E275" s="442">
        <f>SUM(E273:E274)</f>
        <v>43.428869981146761</v>
      </c>
      <c r="F275" s="186"/>
    </row>
    <row r="276" spans="2:14">
      <c r="B276" s="377">
        <f t="shared" si="162"/>
        <v>14</v>
      </c>
      <c r="C276" s="184" t="str">
        <f>+Valuation!B31</f>
        <v>(-) Long Term Debt BOP</v>
      </c>
      <c r="D276" s="182" t="s">
        <v>67</v>
      </c>
      <c r="E276" s="201">
        <f>-Model!G204</f>
        <v>-1.9739156899999999</v>
      </c>
    </row>
    <row r="277" spans="2:14">
      <c r="B277" s="377">
        <f t="shared" si="162"/>
        <v>15</v>
      </c>
      <c r="C277" s="184" t="str">
        <f>+Valuation!B32</f>
        <v>(+) Cash BOP</v>
      </c>
      <c r="D277" s="182" t="s">
        <v>67</v>
      </c>
      <c r="E277" s="201">
        <f>+Model!G195</f>
        <v>6.8370514199999999</v>
      </c>
    </row>
    <row r="278" spans="2:14">
      <c r="B278" s="377">
        <f t="shared" si="162"/>
        <v>16</v>
      </c>
      <c r="C278" s="385" t="s">
        <v>110</v>
      </c>
      <c r="D278" s="398" t="s">
        <v>67</v>
      </c>
      <c r="E278" s="442">
        <f>+SUM(E275:E277)</f>
        <v>48.292005711146764</v>
      </c>
    </row>
    <row r="279" spans="2:14">
      <c r="B279" s="377">
        <f t="shared" si="162"/>
        <v>17</v>
      </c>
      <c r="C279" s="184"/>
      <c r="D279" s="182"/>
      <c r="E279" s="201"/>
    </row>
    <row r="280" spans="2:14">
      <c r="B280" s="377">
        <f t="shared" si="162"/>
        <v>18</v>
      </c>
      <c r="C280" s="184" t="str">
        <f>+Valuation!B35</f>
        <v>EV/EBITDA</v>
      </c>
      <c r="D280" s="182" t="s">
        <v>113</v>
      </c>
      <c r="E280" s="206">
        <f>+E278/Control!D42</f>
        <v>10.328913113820024</v>
      </c>
    </row>
    <row r="281" spans="2:14">
      <c r="B281" s="377">
        <f t="shared" si="162"/>
        <v>19</v>
      </c>
      <c r="C281" s="184" t="str">
        <f>+Valuation!B36</f>
        <v>Equity Value / Book Value</v>
      </c>
      <c r="D281" s="182" t="s">
        <v>113</v>
      </c>
      <c r="E281" s="206">
        <f>+Valuation!H36</f>
        <v>2.9696207489291648</v>
      </c>
    </row>
    <row r="284" spans="2:14">
      <c r="D284" s="180" t="str">
        <f>+C273</f>
        <v>PV of FCFF</v>
      </c>
      <c r="E284" s="201">
        <f>+E273</f>
        <v>7.329806179433124</v>
      </c>
    </row>
    <row r="285" spans="2:14">
      <c r="D285" s="180" t="str">
        <f>+C274</f>
        <v>PV of Terminal Value</v>
      </c>
      <c r="E285" s="201">
        <f>+E274</f>
        <v>36.099063801713633</v>
      </c>
      <c r="F285" s="201"/>
      <c r="G285" s="201"/>
      <c r="H285" s="201"/>
      <c r="I285" s="201"/>
      <c r="J285" s="397"/>
      <c r="K285" s="201"/>
      <c r="L285" s="201"/>
      <c r="M285" s="201"/>
      <c r="N285" s="201"/>
    </row>
    <row r="286" spans="2:14">
      <c r="D286" s="180" t="str">
        <f>+C275</f>
        <v>Enterprise Value</v>
      </c>
      <c r="E286" s="201">
        <f>+SUM(E284:E285)</f>
        <v>43.428869981146761</v>
      </c>
      <c r="F286" s="201"/>
      <c r="G286" s="201"/>
      <c r="H286" s="201"/>
      <c r="I286" s="201"/>
      <c r="J286" s="397"/>
      <c r="K286" s="201"/>
      <c r="L286" s="201"/>
      <c r="M286" s="201"/>
      <c r="N286" s="201"/>
    </row>
    <row r="287" spans="2:14">
      <c r="E287" s="201"/>
      <c r="F287" s="201"/>
      <c r="G287" s="201"/>
      <c r="H287" s="201"/>
      <c r="I287" s="201"/>
      <c r="J287" s="397"/>
      <c r="K287" s="201"/>
      <c r="L287" s="201"/>
      <c r="M287" s="201"/>
      <c r="N287" s="201"/>
    </row>
    <row r="294" spans="1:14">
      <c r="A294" s="177" t="s">
        <v>10</v>
      </c>
      <c r="B294" s="178" t="s">
        <v>472</v>
      </c>
      <c r="C294" s="178"/>
      <c r="D294" s="179"/>
      <c r="E294" s="179"/>
      <c r="F294" s="179"/>
      <c r="G294" s="179"/>
      <c r="H294" s="179"/>
      <c r="I294" s="179"/>
      <c r="J294" s="375"/>
      <c r="K294" s="179"/>
      <c r="L294" s="179"/>
      <c r="M294" s="179"/>
      <c r="N294" s="179"/>
    </row>
    <row r="295" spans="1:14">
      <c r="B295" s="204"/>
      <c r="C295" s="204"/>
      <c r="D295" s="376"/>
      <c r="E295" s="376"/>
      <c r="F295" s="376"/>
      <c r="G295" s="376"/>
      <c r="H295" s="376"/>
      <c r="I295" s="376"/>
      <c r="J295" s="417"/>
      <c r="K295" s="376"/>
      <c r="L295" s="376"/>
      <c r="M295" s="376"/>
      <c r="N295" s="376"/>
    </row>
    <row r="296" spans="1:14">
      <c r="B296" s="377">
        <v>1</v>
      </c>
      <c r="C296" s="378" t="s">
        <v>473</v>
      </c>
      <c r="D296" s="379" t="s">
        <v>12</v>
      </c>
      <c r="E296" s="395">
        <v>2024</v>
      </c>
      <c r="F296" s="395">
        <f>+E296+1</f>
        <v>2025</v>
      </c>
      <c r="G296" s="395">
        <f t="shared" ref="G296" si="168">+F296+1</f>
        <v>2026</v>
      </c>
      <c r="H296" s="395">
        <f t="shared" ref="H296" si="169">+G296+1</f>
        <v>2027</v>
      </c>
      <c r="I296" s="395">
        <f t="shared" ref="I296" si="170">+H296+1</f>
        <v>2028</v>
      </c>
      <c r="J296" s="431">
        <f t="shared" ref="J296" si="171">+I296+1</f>
        <v>2029</v>
      </c>
      <c r="K296" s="395">
        <f t="shared" ref="K296" si="172">+J296+1</f>
        <v>2030</v>
      </c>
      <c r="L296" s="395">
        <f t="shared" ref="L296" si="173">+K296+1</f>
        <v>2031</v>
      </c>
      <c r="M296" s="395">
        <f t="shared" ref="M296" si="174">+L296+1</f>
        <v>2032</v>
      </c>
      <c r="N296" s="395">
        <f t="shared" ref="N296" si="175">+M296+1</f>
        <v>2033</v>
      </c>
    </row>
    <row r="297" spans="1:14">
      <c r="B297" s="377">
        <f>+B296+1</f>
        <v>2</v>
      </c>
      <c r="C297" s="184" t="s">
        <v>474</v>
      </c>
      <c r="D297" s="182" t="s">
        <v>67</v>
      </c>
      <c r="E297" s="201">
        <f>+Valuation!H43</f>
        <v>0</v>
      </c>
      <c r="F297" s="201">
        <f>+Valuation!I43</f>
        <v>0</v>
      </c>
      <c r="G297" s="201">
        <f>+Valuation!J43</f>
        <v>-3.1965266510102173</v>
      </c>
      <c r="H297" s="201">
        <f>+Valuation!K43</f>
        <v>-3.0930854813410029</v>
      </c>
      <c r="I297" s="201">
        <f>+Valuation!L43</f>
        <v>-2.0282592357856046</v>
      </c>
      <c r="J297" s="397">
        <f>+Valuation!M43</f>
        <v>0</v>
      </c>
      <c r="K297" s="201">
        <f>+Valuation!N43</f>
        <v>0</v>
      </c>
      <c r="L297" s="201">
        <f>+Valuation!O43</f>
        <v>0</v>
      </c>
      <c r="M297" s="201">
        <f>+Valuation!P43</f>
        <v>0</v>
      </c>
      <c r="N297" s="201">
        <f>+Valuation!Q43</f>
        <v>0</v>
      </c>
    </row>
    <row r="298" spans="1:14">
      <c r="B298" s="377">
        <f>+B297+1</f>
        <v>3</v>
      </c>
      <c r="C298" s="184" t="s">
        <v>106</v>
      </c>
      <c r="D298" s="182" t="s">
        <v>67</v>
      </c>
      <c r="E298" s="444">
        <v>0</v>
      </c>
      <c r="F298" s="444">
        <v>0</v>
      </c>
      <c r="G298" s="444">
        <v>0</v>
      </c>
      <c r="H298" s="444">
        <v>0</v>
      </c>
      <c r="I298" s="444">
        <v>0</v>
      </c>
      <c r="J298" s="445">
        <v>0</v>
      </c>
      <c r="K298" s="444">
        <v>0</v>
      </c>
      <c r="L298" s="444">
        <v>0</v>
      </c>
      <c r="M298" s="444">
        <v>0</v>
      </c>
      <c r="N298" s="201">
        <f>+Valuation!Q45</f>
        <v>79.919714659536425</v>
      </c>
    </row>
    <row r="299" spans="1:14">
      <c r="B299" s="377">
        <f>+B298+1</f>
        <v>4</v>
      </c>
      <c r="C299" s="216" t="s">
        <v>102</v>
      </c>
      <c r="D299" s="208" t="s">
        <v>14</v>
      </c>
      <c r="E299" s="446">
        <f>+Valuation!Q40</f>
        <v>0.02</v>
      </c>
      <c r="F299" s="446">
        <f>+E299</f>
        <v>0.02</v>
      </c>
      <c r="G299" s="446">
        <f t="shared" ref="G299:N299" si="176">+F299</f>
        <v>0.02</v>
      </c>
      <c r="H299" s="446">
        <f t="shared" si="176"/>
        <v>0.02</v>
      </c>
      <c r="I299" s="446">
        <f t="shared" si="176"/>
        <v>0.02</v>
      </c>
      <c r="J299" s="447">
        <f t="shared" si="176"/>
        <v>0.02</v>
      </c>
      <c r="K299" s="446">
        <f t="shared" si="176"/>
        <v>0.02</v>
      </c>
      <c r="L299" s="446">
        <f t="shared" si="176"/>
        <v>0.02</v>
      </c>
      <c r="M299" s="446">
        <f t="shared" si="176"/>
        <v>0.02</v>
      </c>
      <c r="N299" s="446">
        <f t="shared" si="176"/>
        <v>0.02</v>
      </c>
    </row>
    <row r="300" spans="1:14">
      <c r="B300" s="377">
        <f t="shared" ref="B300:B314" si="177">+B299+1</f>
        <v>5</v>
      </c>
    </row>
    <row r="301" spans="1:14">
      <c r="B301" s="377">
        <f t="shared" si="177"/>
        <v>6</v>
      </c>
      <c r="C301" s="184" t="str">
        <f>+C268</f>
        <v>Disscounted period</v>
      </c>
      <c r="D301" s="182" t="str">
        <f>+D268</f>
        <v>#</v>
      </c>
      <c r="E301" s="420">
        <v>1</v>
      </c>
      <c r="F301" s="420">
        <f>+E301+1</f>
        <v>2</v>
      </c>
      <c r="G301" s="420">
        <f t="shared" ref="G301:N301" si="178">+F301+1</f>
        <v>3</v>
      </c>
      <c r="H301" s="420">
        <f t="shared" si="178"/>
        <v>4</v>
      </c>
      <c r="I301" s="420">
        <f t="shared" si="178"/>
        <v>5</v>
      </c>
      <c r="J301" s="406">
        <f t="shared" si="178"/>
        <v>6</v>
      </c>
      <c r="K301" s="420">
        <f t="shared" si="178"/>
        <v>7</v>
      </c>
      <c r="L301" s="420">
        <f t="shared" si="178"/>
        <v>8</v>
      </c>
      <c r="M301" s="420">
        <f t="shared" si="178"/>
        <v>9</v>
      </c>
      <c r="N301" s="420">
        <f t="shared" si="178"/>
        <v>10</v>
      </c>
    </row>
    <row r="302" spans="1:14">
      <c r="B302" s="377">
        <f t="shared" si="177"/>
        <v>7</v>
      </c>
      <c r="C302" s="184" t="s">
        <v>476</v>
      </c>
      <c r="D302" s="182" t="s">
        <v>14</v>
      </c>
      <c r="E302" s="243">
        <f>+Valuation!H39</f>
        <v>0.13451384948233269</v>
      </c>
      <c r="F302" s="243">
        <f>+E302</f>
        <v>0.13451384948233269</v>
      </c>
      <c r="G302" s="243">
        <f t="shared" ref="G302:N302" si="179">+F302</f>
        <v>0.13451384948233269</v>
      </c>
      <c r="H302" s="243">
        <f t="shared" si="179"/>
        <v>0.13451384948233269</v>
      </c>
      <c r="I302" s="243">
        <f t="shared" si="179"/>
        <v>0.13451384948233269</v>
      </c>
      <c r="J302" s="409">
        <f t="shared" si="179"/>
        <v>0.13451384948233269</v>
      </c>
      <c r="K302" s="243">
        <f t="shared" si="179"/>
        <v>0.13451384948233269</v>
      </c>
      <c r="L302" s="243">
        <f t="shared" si="179"/>
        <v>0.13451384948233269</v>
      </c>
      <c r="M302" s="243">
        <f t="shared" si="179"/>
        <v>0.13451384948233269</v>
      </c>
      <c r="N302" s="243">
        <f t="shared" si="179"/>
        <v>0.13451384948233269</v>
      </c>
    </row>
    <row r="303" spans="1:14">
      <c r="B303" s="377">
        <f t="shared" si="177"/>
        <v>8</v>
      </c>
      <c r="C303" s="184" t="s">
        <v>463</v>
      </c>
      <c r="D303" s="182" t="s">
        <v>14</v>
      </c>
      <c r="E303" s="439">
        <f>1/((1+E302)^E301)</f>
        <v>0.88143481056338813</v>
      </c>
      <c r="F303" s="440">
        <f>+E303/(1+F302)</f>
        <v>0.77692732527291586</v>
      </c>
      <c r="G303" s="440">
        <f t="shared" ref="G303" si="180">+F303/(1+G302)</f>
        <v>0.68481078977345233</v>
      </c>
      <c r="H303" s="440">
        <f t="shared" ref="H303" si="181">+G303/(1+H302)</f>
        <v>0.60361606875572715</v>
      </c>
      <c r="I303" s="440">
        <f t="shared" ref="I303" si="182">+H303/(1+I302)</f>
        <v>0.53204821521672141</v>
      </c>
      <c r="J303" s="441">
        <f t="shared" ref="J303" si="183">+I303/(1+J302)</f>
        <v>0.46896581779013957</v>
      </c>
      <c r="K303" s="440">
        <f t="shared" ref="K303" si="184">+J303/(1+K302)</f>
        <v>0.41336279676455606</v>
      </c>
      <c r="L303" s="440">
        <f t="shared" ref="L303" si="185">+K303/(1+L302)</f>
        <v>0.36435235846011876</v>
      </c>
      <c r="M303" s="440">
        <f t="shared" ref="M303" si="186">+L303/(1+M302)</f>
        <v>0.32115285205761845</v>
      </c>
      <c r="N303" s="440">
        <f t="shared" ref="N303" si="187">+M303/(1+N302)</f>
        <v>0.28307530331529873</v>
      </c>
    </row>
    <row r="304" spans="1:14">
      <c r="B304" s="377">
        <f t="shared" si="177"/>
        <v>9</v>
      </c>
      <c r="C304" s="385" t="s">
        <v>475</v>
      </c>
      <c r="D304" s="398" t="s">
        <v>67</v>
      </c>
      <c r="E304" s="442">
        <f>+E303*E297</f>
        <v>0</v>
      </c>
      <c r="F304" s="442">
        <f t="shared" ref="F304" si="188">+F303*F297</f>
        <v>0</v>
      </c>
      <c r="G304" s="442">
        <f t="shared" ref="G304" si="189">+G303*G297</f>
        <v>-2.1890159404101954</v>
      </c>
      <c r="H304" s="442">
        <f t="shared" ref="H304" si="190">+H303*H297</f>
        <v>-1.8670360985724723</v>
      </c>
      <c r="I304" s="442">
        <f t="shared" ref="I304" si="191">+I303*I297</f>
        <v>-1.0791317063965622</v>
      </c>
      <c r="J304" s="442">
        <f t="shared" ref="J304" si="192">+J303*J297</f>
        <v>0</v>
      </c>
      <c r="K304" s="442">
        <f t="shared" ref="K304" si="193">+K303*K297</f>
        <v>0</v>
      </c>
      <c r="L304" s="442">
        <f t="shared" ref="L304" si="194">+L303*L297</f>
        <v>0</v>
      </c>
      <c r="M304" s="442">
        <f t="shared" ref="M304" si="195">+M303*M297</f>
        <v>0</v>
      </c>
      <c r="N304" s="442">
        <f t="shared" ref="N304" si="196">+N303*N297</f>
        <v>0</v>
      </c>
    </row>
    <row r="305" spans="2:14">
      <c r="B305" s="377">
        <f t="shared" si="177"/>
        <v>10</v>
      </c>
    </row>
    <row r="306" spans="2:14">
      <c r="B306" s="377">
        <f t="shared" si="177"/>
        <v>11</v>
      </c>
      <c r="C306" s="184" t="s">
        <v>477</v>
      </c>
      <c r="D306" s="182" t="s">
        <v>67</v>
      </c>
      <c r="E306" s="201">
        <f>+SUM(E304:N304)</f>
        <v>-5.1351837453792299</v>
      </c>
    </row>
    <row r="307" spans="2:14">
      <c r="B307" s="377">
        <f t="shared" si="177"/>
        <v>12</v>
      </c>
      <c r="C307" s="184" t="s">
        <v>466</v>
      </c>
      <c r="D307" s="182" t="s">
        <v>67</v>
      </c>
      <c r="E307" s="201">
        <f>+N303*N298</f>
        <v>22.623297468120398</v>
      </c>
    </row>
    <row r="308" spans="2:14">
      <c r="B308" s="377">
        <f t="shared" si="177"/>
        <v>13</v>
      </c>
      <c r="C308" s="385" t="s">
        <v>110</v>
      </c>
      <c r="D308" s="398" t="s">
        <v>67</v>
      </c>
      <c r="E308" s="442">
        <f>SUM(E306:E307)</f>
        <v>17.488113722741168</v>
      </c>
    </row>
    <row r="309" spans="2:14">
      <c r="B309" s="377">
        <f t="shared" si="177"/>
        <v>14</v>
      </c>
      <c r="C309" s="184" t="s">
        <v>478</v>
      </c>
      <c r="D309" s="182" t="s">
        <v>67</v>
      </c>
      <c r="E309" s="201">
        <f>-E276</f>
        <v>1.9739156899999999</v>
      </c>
    </row>
    <row r="310" spans="2:14">
      <c r="B310" s="377">
        <f t="shared" si="177"/>
        <v>15</v>
      </c>
      <c r="C310" s="184" t="s">
        <v>479</v>
      </c>
      <c r="D310" s="182" t="s">
        <v>67</v>
      </c>
      <c r="E310" s="201">
        <f>-E277</f>
        <v>-6.8370514199999999</v>
      </c>
    </row>
    <row r="311" spans="2:14">
      <c r="B311" s="377">
        <f t="shared" si="177"/>
        <v>16</v>
      </c>
      <c r="C311" s="385" t="s">
        <v>108</v>
      </c>
      <c r="D311" s="398" t="s">
        <v>67</v>
      </c>
      <c r="E311" s="442">
        <f>+SUM(E308:E310)</f>
        <v>12.624977992741167</v>
      </c>
    </row>
    <row r="312" spans="2:14">
      <c r="B312" s="377">
        <f t="shared" si="177"/>
        <v>17</v>
      </c>
    </row>
    <row r="313" spans="2:14">
      <c r="B313" s="377">
        <f t="shared" si="177"/>
        <v>18</v>
      </c>
      <c r="C313" s="180" t="str">
        <f>+Valuation!B52</f>
        <v>EV/EBITDA</v>
      </c>
      <c r="D313" s="182" t="str">
        <f>+Valuation!C52</f>
        <v>0.0x</v>
      </c>
      <c r="E313" s="206">
        <f>+E311/Control!D42</f>
        <v>2.7002875285590791</v>
      </c>
    </row>
    <row r="314" spans="2:14">
      <c r="B314" s="377">
        <f t="shared" si="177"/>
        <v>19</v>
      </c>
      <c r="C314" s="180" t="str">
        <f>+Valuation!B53</f>
        <v>Equity Value / Book Value</v>
      </c>
      <c r="D314" s="182" t="str">
        <f>+Valuation!C53</f>
        <v>0.0x</v>
      </c>
      <c r="E314" s="206">
        <f>+Valuation!H53</f>
        <v>1.0753967371187036</v>
      </c>
    </row>
    <row r="318" spans="2:14">
      <c r="D318" s="180" t="str">
        <f>+C306</f>
        <v>PV of FCFE</v>
      </c>
      <c r="E318" s="201">
        <f>+E306</f>
        <v>-5.1351837453792299</v>
      </c>
    </row>
    <row r="319" spans="2:14">
      <c r="D319" s="180" t="str">
        <f>+C307</f>
        <v>PV of Terminal Value</v>
      </c>
      <c r="E319" s="201">
        <f>+E307</f>
        <v>22.623297468120398</v>
      </c>
      <c r="F319" s="201"/>
      <c r="G319" s="201"/>
      <c r="H319" s="201"/>
      <c r="I319" s="201"/>
      <c r="J319" s="397"/>
      <c r="K319" s="201"/>
      <c r="L319" s="201"/>
      <c r="M319" s="201"/>
      <c r="N319" s="201"/>
    </row>
    <row r="320" spans="2:14">
      <c r="D320" s="180" t="str">
        <f>+C308</f>
        <v>Equity Value</v>
      </c>
      <c r="E320" s="201">
        <f>+SUM(E318:E319)</f>
        <v>17.488113722741168</v>
      </c>
      <c r="F320" s="201"/>
      <c r="G320" s="201"/>
      <c r="H320" s="201"/>
      <c r="I320" s="201"/>
      <c r="J320" s="397"/>
      <c r="K320" s="201"/>
      <c r="L320" s="201"/>
      <c r="M320" s="201"/>
      <c r="N320" s="201"/>
    </row>
    <row r="321" spans="1:14">
      <c r="E321" s="201"/>
      <c r="F321" s="201"/>
      <c r="G321" s="201"/>
      <c r="H321" s="201"/>
      <c r="I321" s="201"/>
      <c r="J321" s="397"/>
      <c r="K321" s="201"/>
      <c r="L321" s="201"/>
      <c r="M321" s="201"/>
      <c r="N321" s="201"/>
    </row>
    <row r="328" spans="1:14">
      <c r="A328" s="177" t="s">
        <v>10</v>
      </c>
      <c r="B328" s="178" t="s">
        <v>493</v>
      </c>
      <c r="C328" s="178"/>
      <c r="D328" s="179"/>
      <c r="E328" s="179"/>
      <c r="F328" s="179"/>
      <c r="G328" s="179"/>
      <c r="H328" s="179"/>
      <c r="I328" s="179"/>
      <c r="J328" s="375"/>
      <c r="K328" s="179"/>
      <c r="L328" s="179"/>
      <c r="M328" s="179"/>
      <c r="N328" s="179"/>
    </row>
    <row r="330" spans="1:14">
      <c r="B330" s="377">
        <v>1</v>
      </c>
      <c r="C330" s="378" t="s">
        <v>494</v>
      </c>
      <c r="D330" s="379" t="s">
        <v>12</v>
      </c>
      <c r="E330" s="395">
        <v>2024</v>
      </c>
      <c r="F330" s="395">
        <f>+E330+1</f>
        <v>2025</v>
      </c>
      <c r="G330" s="395">
        <f t="shared" ref="G330" si="197">+F330+1</f>
        <v>2026</v>
      </c>
      <c r="H330" s="395">
        <f t="shared" ref="H330" si="198">+G330+1</f>
        <v>2027</v>
      </c>
      <c r="I330" s="395">
        <f t="shared" ref="I330" si="199">+H330+1</f>
        <v>2028</v>
      </c>
      <c r="J330" s="431">
        <f t="shared" ref="J330" si="200">+I330+1</f>
        <v>2029</v>
      </c>
      <c r="K330" s="395">
        <f t="shared" ref="K330" si="201">+J330+1</f>
        <v>2030</v>
      </c>
      <c r="L330" s="395">
        <f t="shared" ref="L330" si="202">+K330+1</f>
        <v>2031</v>
      </c>
      <c r="M330" s="395">
        <f t="shared" ref="M330" si="203">+L330+1</f>
        <v>2032</v>
      </c>
      <c r="N330" s="395">
        <f t="shared" ref="N330" si="204">+M330+1</f>
        <v>2033</v>
      </c>
    </row>
    <row r="331" spans="1:14">
      <c r="B331" s="377">
        <f>+B330+1</f>
        <v>2</v>
      </c>
      <c r="C331" s="184" t="s">
        <v>494</v>
      </c>
      <c r="D331" s="182" t="s">
        <v>67</v>
      </c>
      <c r="E331" s="201">
        <f>+Valuation!H60</f>
        <v>0</v>
      </c>
      <c r="F331" s="201">
        <f>+Valuation!I60</f>
        <v>0</v>
      </c>
      <c r="G331" s="201">
        <f>+Valuation!J60</f>
        <v>-3.1965266510102173</v>
      </c>
      <c r="H331" s="201">
        <f>+Valuation!K60</f>
        <v>-3.0930854813410029</v>
      </c>
      <c r="I331" s="201">
        <f>+Valuation!L60</f>
        <v>136.42689679344278</v>
      </c>
      <c r="J331" s="397">
        <f>+Valuation!M60</f>
        <v>0</v>
      </c>
      <c r="K331" s="201">
        <f>+Valuation!N60</f>
        <v>0</v>
      </c>
      <c r="L331" s="201">
        <f>+Valuation!O60</f>
        <v>0</v>
      </c>
      <c r="M331" s="201">
        <f>+Valuation!P60</f>
        <v>0</v>
      </c>
      <c r="N331" s="201">
        <f>+Valuation!Q60</f>
        <v>0</v>
      </c>
    </row>
    <row r="332" spans="1:14">
      <c r="B332" s="377">
        <f>+B331+1</f>
        <v>3</v>
      </c>
      <c r="C332" s="184" t="str">
        <f>+C301</f>
        <v>Disscounted period</v>
      </c>
      <c r="D332" s="182" t="str">
        <f>+D301</f>
        <v>#</v>
      </c>
      <c r="E332" s="420">
        <v>1</v>
      </c>
      <c r="F332" s="420">
        <f>+E332+1</f>
        <v>2</v>
      </c>
      <c r="G332" s="420">
        <f t="shared" ref="G332" si="205">+F332+1</f>
        <v>3</v>
      </c>
      <c r="H332" s="420">
        <f t="shared" ref="H332" si="206">+G332+1</f>
        <v>4</v>
      </c>
      <c r="I332" s="420">
        <f t="shared" ref="I332" si="207">+H332+1</f>
        <v>5</v>
      </c>
      <c r="J332" s="406">
        <f t="shared" ref="J332" si="208">+I332+1</f>
        <v>6</v>
      </c>
      <c r="K332" s="420">
        <f t="shared" ref="K332" si="209">+J332+1</f>
        <v>7</v>
      </c>
      <c r="L332" s="420">
        <f t="shared" ref="L332" si="210">+K332+1</f>
        <v>8</v>
      </c>
      <c r="M332" s="420">
        <f t="shared" ref="M332" si="211">+L332+1</f>
        <v>9</v>
      </c>
      <c r="N332" s="420">
        <f t="shared" ref="N332" si="212">+M332+1</f>
        <v>10</v>
      </c>
    </row>
    <row r="333" spans="1:14">
      <c r="B333" s="377">
        <f t="shared" ref="B333:B340" si="213">+B332+1</f>
        <v>4</v>
      </c>
      <c r="C333" s="184" t="s">
        <v>486</v>
      </c>
      <c r="D333" s="182" t="s">
        <v>67</v>
      </c>
      <c r="E333" s="448">
        <f>+Valuation!H56</f>
        <v>0.25</v>
      </c>
      <c r="F333" s="448">
        <f>+E333</f>
        <v>0.25</v>
      </c>
      <c r="G333" s="448">
        <f>+F333</f>
        <v>0.25</v>
      </c>
      <c r="H333" s="448">
        <f t="shared" ref="H333:N333" si="214">+G333</f>
        <v>0.25</v>
      </c>
      <c r="I333" s="448">
        <f t="shared" si="214"/>
        <v>0.25</v>
      </c>
      <c r="J333" s="449">
        <f t="shared" si="214"/>
        <v>0.25</v>
      </c>
      <c r="K333" s="448">
        <f t="shared" si="214"/>
        <v>0.25</v>
      </c>
      <c r="L333" s="448">
        <f t="shared" si="214"/>
        <v>0.25</v>
      </c>
      <c r="M333" s="448">
        <f t="shared" si="214"/>
        <v>0.25</v>
      </c>
      <c r="N333" s="448">
        <f t="shared" si="214"/>
        <v>0.25</v>
      </c>
    </row>
    <row r="334" spans="1:14">
      <c r="B334" s="377">
        <f t="shared" si="213"/>
        <v>5</v>
      </c>
      <c r="C334" s="184" t="s">
        <v>463</v>
      </c>
      <c r="D334" s="182" t="s">
        <v>14</v>
      </c>
      <c r="E334" s="439">
        <f>1/((1+E333)^E332)</f>
        <v>0.8</v>
      </c>
      <c r="F334" s="440">
        <f>+E334/(1+F333)</f>
        <v>0.64</v>
      </c>
      <c r="G334" s="440">
        <f t="shared" ref="G334" si="215">+F334/(1+G333)</f>
        <v>0.51200000000000001</v>
      </c>
      <c r="H334" s="440">
        <f t="shared" ref="H334" si="216">+G334/(1+H333)</f>
        <v>0.40960000000000002</v>
      </c>
      <c r="I334" s="440">
        <f t="shared" ref="I334" si="217">+H334/(1+I333)</f>
        <v>0.32768000000000003</v>
      </c>
      <c r="J334" s="441">
        <f t="shared" ref="J334" si="218">+I334/(1+J333)</f>
        <v>0.26214400000000004</v>
      </c>
      <c r="K334" s="440">
        <f t="shared" ref="K334" si="219">+J334/(1+K333)</f>
        <v>0.20971520000000005</v>
      </c>
      <c r="L334" s="440">
        <f t="shared" ref="L334" si="220">+K334/(1+L333)</f>
        <v>0.16777216000000003</v>
      </c>
      <c r="M334" s="440">
        <f t="shared" ref="M334" si="221">+L334/(1+M333)</f>
        <v>0.13421772800000004</v>
      </c>
      <c r="N334" s="440">
        <f t="shared" ref="N334" si="222">+M334/(1+N333)</f>
        <v>0.10737418240000003</v>
      </c>
    </row>
    <row r="335" spans="1:14">
      <c r="B335" s="377">
        <f t="shared" si="213"/>
        <v>6</v>
      </c>
      <c r="C335" s="385" t="s">
        <v>495</v>
      </c>
      <c r="D335" s="398" t="s">
        <v>67</v>
      </c>
      <c r="E335" s="442">
        <f>+E334*E331</f>
        <v>0</v>
      </c>
      <c r="F335" s="442">
        <f t="shared" ref="F335:N335" si="223">+F334*F331</f>
        <v>0</v>
      </c>
      <c r="G335" s="442">
        <f t="shared" si="223"/>
        <v>-1.6366216453172313</v>
      </c>
      <c r="H335" s="442">
        <f t="shared" si="223"/>
        <v>-1.2669278131572748</v>
      </c>
      <c r="I335" s="442">
        <f t="shared" si="223"/>
        <v>44.704365541275337</v>
      </c>
      <c r="J335" s="442">
        <f t="shared" si="223"/>
        <v>0</v>
      </c>
      <c r="K335" s="442">
        <f t="shared" si="223"/>
        <v>0</v>
      </c>
      <c r="L335" s="442">
        <f t="shared" si="223"/>
        <v>0</v>
      </c>
      <c r="M335" s="442">
        <f t="shared" si="223"/>
        <v>0</v>
      </c>
      <c r="N335" s="442">
        <f t="shared" si="223"/>
        <v>0</v>
      </c>
    </row>
    <row r="336" spans="1:14">
      <c r="B336" s="377">
        <f t="shared" si="213"/>
        <v>7</v>
      </c>
    </row>
    <row r="337" spans="2:10">
      <c r="B337" s="377">
        <f t="shared" si="213"/>
        <v>8</v>
      </c>
      <c r="C337" s="385" t="str">
        <f>+C335</f>
        <v>PV of LBO Sponsor CF</v>
      </c>
      <c r="D337" s="398" t="s">
        <v>67</v>
      </c>
      <c r="E337" s="442">
        <f>+SUM(E335:N335)</f>
        <v>41.800816082800829</v>
      </c>
    </row>
    <row r="338" spans="2:10">
      <c r="B338" s="377">
        <f t="shared" si="213"/>
        <v>9</v>
      </c>
      <c r="C338" s="184" t="s">
        <v>496</v>
      </c>
      <c r="D338" s="182" t="s">
        <v>67</v>
      </c>
      <c r="E338" s="201">
        <f>+Valuation!H63</f>
        <v>21.358342514285692</v>
      </c>
    </row>
    <row r="339" spans="2:10">
      <c r="B339" s="377">
        <f t="shared" si="213"/>
        <v>10</v>
      </c>
      <c r="C339" s="216" t="s">
        <v>470</v>
      </c>
      <c r="D339" s="208" t="s">
        <v>67</v>
      </c>
      <c r="E339" s="294">
        <f>+Valuation!H64</f>
        <v>0</v>
      </c>
    </row>
    <row r="340" spans="2:10">
      <c r="B340" s="377">
        <f t="shared" si="213"/>
        <v>11</v>
      </c>
      <c r="C340" s="385" t="str">
        <f>+Valuation!B65</f>
        <v>Enterprise Value</v>
      </c>
      <c r="D340" s="398" t="s">
        <v>67</v>
      </c>
      <c r="E340" s="442">
        <f>+SUM(E337:E339)</f>
        <v>63.159158597086517</v>
      </c>
    </row>
    <row r="341" spans="2:10">
      <c r="C341" s="184"/>
    </row>
    <row r="342" spans="2:10">
      <c r="C342" s="184"/>
    </row>
    <row r="343" spans="2:10">
      <c r="C343" s="184"/>
      <c r="E343" s="201" t="str">
        <f>+C337</f>
        <v>PV of LBO Sponsor CF</v>
      </c>
      <c r="F343" s="201">
        <f>+E337</f>
        <v>41.800816082800829</v>
      </c>
      <c r="G343" s="201"/>
      <c r="H343" s="201"/>
      <c r="I343" s="201"/>
      <c r="J343" s="397"/>
    </row>
    <row r="344" spans="2:10">
      <c r="C344" s="184"/>
      <c r="E344" s="354" t="str">
        <f t="shared" ref="E344:E346" si="224">+C338</f>
        <v>(+) Deal Debt</v>
      </c>
      <c r="F344" s="201">
        <f>+E338</f>
        <v>21.358342514285692</v>
      </c>
      <c r="G344" s="201"/>
      <c r="H344" s="201"/>
      <c r="I344" s="201"/>
      <c r="J344" s="397"/>
    </row>
    <row r="345" spans="2:10">
      <c r="C345" s="184"/>
      <c r="E345" s="354" t="str">
        <f t="shared" si="224"/>
        <v>(-) Cash BOP</v>
      </c>
      <c r="F345" s="201">
        <f>+E339</f>
        <v>0</v>
      </c>
      <c r="G345" s="201"/>
      <c r="H345" s="201"/>
      <c r="I345" s="201"/>
      <c r="J345" s="397"/>
    </row>
    <row r="346" spans="2:10">
      <c r="C346" s="184"/>
      <c r="E346" s="201" t="str">
        <f t="shared" si="224"/>
        <v>Enterprise Value</v>
      </c>
      <c r="F346" s="201">
        <f>+SUM(F343:F345)</f>
        <v>63.159158597086517</v>
      </c>
    </row>
    <row r="347" spans="2:10">
      <c r="C347" s="184"/>
    </row>
    <row r="348" spans="2:10">
      <c r="C348" s="184"/>
    </row>
    <row r="349" spans="2:10">
      <c r="C349" s="184"/>
    </row>
    <row r="350" spans="2:10">
      <c r="C350" s="184"/>
    </row>
    <row r="351" spans="2:10">
      <c r="C351" s="184"/>
    </row>
    <row r="352" spans="2:10">
      <c r="C352" s="184"/>
    </row>
    <row r="353" spans="3:3">
      <c r="C353" s="18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87A-0E99-4FA5-BA38-836DDF565009}">
  <sheetPr>
    <tabColor theme="3" tint="0.89999084444715716"/>
    <outlinePr summaryBelow="0"/>
  </sheetPr>
  <dimension ref="A2:XET70"/>
  <sheetViews>
    <sheetView showGridLines="0" zoomScale="150" zoomScaleNormal="150" workbookViewId="0">
      <pane ySplit="12" topLeftCell="A56" activePane="bottomLeft" state="frozen"/>
      <selection pane="bottomLeft" activeCell="B19" sqref="B19"/>
    </sheetView>
  </sheetViews>
  <sheetFormatPr baseColWidth="10" defaultColWidth="0" defaultRowHeight="16" outlineLevelRow="1"/>
  <cols>
    <col min="1" max="1" width="2" style="180" bestFit="1" customWidth="1"/>
    <col min="2" max="2" width="37.6640625" style="180" customWidth="1"/>
    <col min="3" max="3" width="19.1640625" style="180" customWidth="1"/>
    <col min="4" max="4" width="22.1640625" style="180" customWidth="1"/>
    <col min="5" max="5" width="22" style="180" bestFit="1" customWidth="1"/>
    <col min="6" max="7" width="20.1640625" style="180" customWidth="1"/>
    <col min="8" max="9" width="8.6640625" style="180" customWidth="1"/>
    <col min="10" max="16374" width="8.6640625" style="180" hidden="1"/>
    <col min="16375" max="16384" width="0" style="180" hidden="1"/>
  </cols>
  <sheetData>
    <row r="2" spans="1:7">
      <c r="A2" s="177" t="s">
        <v>10</v>
      </c>
      <c r="B2" s="178" t="s">
        <v>219</v>
      </c>
      <c r="C2" s="178"/>
      <c r="D2" s="179"/>
    </row>
    <row r="3" spans="1:7" collapsed="1">
      <c r="B3" s="181" t="s">
        <v>548</v>
      </c>
      <c r="C3" s="182" t="s">
        <v>505</v>
      </c>
      <c r="D3" s="450" t="str">
        <f>+D15</f>
        <v>Inorganic Acquisitions</v>
      </c>
    </row>
    <row r="4" spans="1:7" hidden="1" outlineLevel="1">
      <c r="B4" s="184" t="str">
        <f>+Control!B4</f>
        <v>Avg. EBITDA margin</v>
      </c>
      <c r="C4" s="182" t="str">
        <f>+Control!C4</f>
        <v>%</v>
      </c>
      <c r="D4" s="185">
        <f>+Control!D4</f>
        <v>8.671174765588284E-2</v>
      </c>
    </row>
    <row r="5" spans="1:7" hidden="1" outlineLevel="1">
      <c r="B5" s="184" t="str">
        <f>+Control!B5</f>
        <v>Avg. Net margin</v>
      </c>
      <c r="C5" s="182" t="str">
        <f>+Control!C5</f>
        <v>%</v>
      </c>
      <c r="D5" s="185">
        <f>+Control!D5</f>
        <v>2.7535590762637903E-2</v>
      </c>
    </row>
    <row r="6" spans="1:7" hidden="1" outlineLevel="1">
      <c r="B6" s="184" t="str">
        <f>+Control!B6</f>
        <v>Unlevered IRR</v>
      </c>
      <c r="C6" s="182" t="str">
        <f>+Control!C6</f>
        <v>%</v>
      </c>
      <c r="D6" s="185">
        <f>+Control!D6</f>
        <v>0.27867027094547425</v>
      </c>
    </row>
    <row r="7" spans="1:7" hidden="1" outlineLevel="1">
      <c r="B7" s="184" t="str">
        <f>+Control!B7</f>
        <v>Total Cost of Debt</v>
      </c>
      <c r="C7" s="182" t="str">
        <f>+Control!C7</f>
        <v>%</v>
      </c>
      <c r="D7" s="264">
        <f>+Control!D7</f>
        <v>0.1687335662136471</v>
      </c>
    </row>
    <row r="8" spans="1:7" hidden="1" outlineLevel="1">
      <c r="B8" s="184" t="str">
        <f>+Control!B8</f>
        <v>Debt Term</v>
      </c>
      <c r="C8" s="182" t="str">
        <f>+Control!C8</f>
        <v>Years</v>
      </c>
      <c r="D8" s="265">
        <f>+Control!D8</f>
        <v>10</v>
      </c>
    </row>
    <row r="9" spans="1:7" hidden="1" outlineLevel="1">
      <c r="B9" s="184" t="str">
        <f>+Control!B9</f>
        <v>Levered IRR</v>
      </c>
      <c r="C9" s="182" t="str">
        <f>+Control!C9</f>
        <v>%</v>
      </c>
      <c r="D9" s="190">
        <f>+Control!D9</f>
        <v>0.39345196829848961</v>
      </c>
      <c r="E9" s="206"/>
    </row>
    <row r="10" spans="1:7" hidden="1" outlineLevel="1">
      <c r="B10" s="184" t="str">
        <f>+Control!B10</f>
        <v>Levered MoiC</v>
      </c>
      <c r="C10" s="182" t="str">
        <f>+Control!C10</f>
        <v>0.0x</v>
      </c>
      <c r="D10" s="191">
        <f>+Control!D10</f>
        <v>3.3191748572114497</v>
      </c>
      <c r="G10" s="361"/>
    </row>
    <row r="11" spans="1:7" hidden="1" outlineLevel="1">
      <c r="B11" s="184" t="str">
        <f>+Control!B11</f>
        <v>Debt Repayment</v>
      </c>
      <c r="C11" s="182" t="str">
        <f>+Control!C11</f>
        <v>Check</v>
      </c>
      <c r="D11" s="192">
        <f>+Control!D11</f>
        <v>21.358342514285692</v>
      </c>
      <c r="G11" s="361"/>
    </row>
    <row r="12" spans="1:7" hidden="1" outlineLevel="1">
      <c r="B12" s="184" t="str">
        <f>+Control!B12</f>
        <v>Master Check</v>
      </c>
      <c r="C12" s="182" t="str">
        <f>+Control!C12</f>
        <v>Check</v>
      </c>
      <c r="D12" s="193">
        <f>+Control!D12</f>
        <v>0</v>
      </c>
    </row>
    <row r="14" spans="1:7">
      <c r="A14" s="177" t="s">
        <v>10</v>
      </c>
      <c r="B14" s="178" t="s">
        <v>543</v>
      </c>
      <c r="C14" s="178"/>
      <c r="D14" s="179"/>
    </row>
    <row r="15" spans="1:7" outlineLevel="1">
      <c r="A15" s="204"/>
      <c r="B15" s="181" t="str">
        <f>+B3</f>
        <v>Live Scenario</v>
      </c>
      <c r="C15" s="182" t="str">
        <f>+C3</f>
        <v>Selection</v>
      </c>
      <c r="D15" s="451" t="s">
        <v>547</v>
      </c>
    </row>
    <row r="16" spans="1:7">
      <c r="A16" s="204"/>
      <c r="B16" s="204"/>
      <c r="C16" s="204"/>
      <c r="D16" s="376"/>
    </row>
    <row r="17" spans="1:8" s="213" customFormat="1">
      <c r="A17" s="177" t="s">
        <v>10</v>
      </c>
      <c r="B17" s="178" t="s">
        <v>551</v>
      </c>
      <c r="C17" s="178"/>
      <c r="D17" s="179"/>
      <c r="E17" s="179"/>
      <c r="F17" s="179"/>
      <c r="G17" s="179"/>
    </row>
    <row r="18" spans="1:8" s="213" customFormat="1" outlineLevel="1">
      <c r="A18" s="180"/>
    </row>
    <row r="19" spans="1:8" outlineLevel="1">
      <c r="B19" s="452" t="s">
        <v>551</v>
      </c>
      <c r="C19" s="453" t="s">
        <v>12</v>
      </c>
      <c r="D19" s="453" t="s">
        <v>544</v>
      </c>
      <c r="E19" s="453" t="s">
        <v>545</v>
      </c>
      <c r="F19" s="453" t="s">
        <v>546</v>
      </c>
      <c r="G19" s="454" t="s">
        <v>547</v>
      </c>
    </row>
    <row r="20" spans="1:8" outlineLevel="1">
      <c r="B20" s="455" t="s">
        <v>559</v>
      </c>
      <c r="C20" s="456" t="s">
        <v>549</v>
      </c>
      <c r="D20" s="457">
        <v>1</v>
      </c>
      <c r="E20" s="457">
        <v>1</v>
      </c>
      <c r="F20" s="457">
        <v>0</v>
      </c>
      <c r="G20" s="457">
        <v>1</v>
      </c>
      <c r="H20" s="333"/>
    </row>
    <row r="21" spans="1:8" s="213" customFormat="1" outlineLevel="1">
      <c r="B21" s="455" t="s">
        <v>508</v>
      </c>
      <c r="C21" s="456" t="s">
        <v>549</v>
      </c>
      <c r="D21" s="457">
        <v>1</v>
      </c>
      <c r="E21" s="457">
        <v>1</v>
      </c>
      <c r="F21" s="457">
        <v>0</v>
      </c>
      <c r="G21" s="457">
        <v>0</v>
      </c>
      <c r="H21" s="333"/>
    </row>
    <row r="22" spans="1:8" s="213" customFormat="1" outlineLevel="1">
      <c r="B22" s="455" t="s">
        <v>515</v>
      </c>
      <c r="C22" s="456" t="s">
        <v>549</v>
      </c>
      <c r="D22" s="457">
        <v>1</v>
      </c>
      <c r="E22" s="457">
        <v>1</v>
      </c>
      <c r="F22" s="457">
        <v>0</v>
      </c>
      <c r="G22" s="457">
        <v>0</v>
      </c>
      <c r="H22" s="333"/>
    </row>
    <row r="23" spans="1:8" s="213" customFormat="1" outlineLevel="1">
      <c r="B23" s="455" t="s">
        <v>517</v>
      </c>
      <c r="C23" s="456" t="s">
        <v>549</v>
      </c>
      <c r="D23" s="457">
        <v>1</v>
      </c>
      <c r="E23" s="457">
        <v>1</v>
      </c>
      <c r="F23" s="457">
        <v>0</v>
      </c>
      <c r="G23" s="457">
        <v>0</v>
      </c>
      <c r="H23" s="333"/>
    </row>
    <row r="24" spans="1:8" s="213" customFormat="1" outlineLevel="1">
      <c r="B24" s="455" t="s">
        <v>519</v>
      </c>
      <c r="C24" s="456" t="s">
        <v>549</v>
      </c>
      <c r="D24" s="457">
        <v>0</v>
      </c>
      <c r="E24" s="457">
        <v>1</v>
      </c>
      <c r="F24" s="457">
        <v>0</v>
      </c>
      <c r="G24" s="457">
        <v>0</v>
      </c>
      <c r="H24" s="333"/>
    </row>
    <row r="25" spans="1:8" s="213" customFormat="1" outlineLevel="1">
      <c r="B25" s="455" t="s">
        <v>502</v>
      </c>
      <c r="C25" s="456" t="s">
        <v>549</v>
      </c>
      <c r="D25" s="457">
        <v>0</v>
      </c>
      <c r="E25" s="457">
        <v>0</v>
      </c>
      <c r="F25" s="457">
        <v>0</v>
      </c>
      <c r="G25" s="457">
        <v>1</v>
      </c>
      <c r="H25" s="333"/>
    </row>
    <row r="26" spans="1:8" s="213" customFormat="1" outlineLevel="1">
      <c r="B26" s="458" t="s">
        <v>718</v>
      </c>
      <c r="C26" s="459" t="s">
        <v>549</v>
      </c>
      <c r="D26" s="460">
        <v>1</v>
      </c>
      <c r="E26" s="460">
        <v>1</v>
      </c>
      <c r="F26" s="460">
        <v>1</v>
      </c>
      <c r="G26" s="461">
        <v>1</v>
      </c>
      <c r="H26" s="333"/>
    </row>
    <row r="27" spans="1:8" s="213" customFormat="1">
      <c r="B27" s="269"/>
      <c r="C27" s="219"/>
      <c r="D27" s="219"/>
      <c r="E27" s="219"/>
      <c r="F27" s="219"/>
    </row>
    <row r="28" spans="1:8" s="213" customFormat="1">
      <c r="A28" s="177" t="s">
        <v>10</v>
      </c>
      <c r="B28" s="178" t="str">
        <f>+B30</f>
        <v>% of Achievement</v>
      </c>
      <c r="C28" s="178"/>
      <c r="D28" s="179"/>
      <c r="E28" s="179"/>
      <c r="F28" s="179"/>
      <c r="G28" s="179"/>
    </row>
    <row r="29" spans="1:8" s="213" customFormat="1" outlineLevel="1"/>
    <row r="30" spans="1:8" s="213" customFormat="1" outlineLevel="1">
      <c r="B30" s="452" t="s">
        <v>550</v>
      </c>
      <c r="C30" s="453" t="s">
        <v>12</v>
      </c>
      <c r="D30" s="453" t="s">
        <v>544</v>
      </c>
      <c r="E30" s="453" t="s">
        <v>545</v>
      </c>
      <c r="F30" s="453" t="s">
        <v>546</v>
      </c>
      <c r="G30" s="454" t="s">
        <v>547</v>
      </c>
    </row>
    <row r="31" spans="1:8" outlineLevel="1">
      <c r="A31" s="213"/>
      <c r="B31" s="455" t="s">
        <v>508</v>
      </c>
      <c r="C31" s="462" t="s">
        <v>550</v>
      </c>
      <c r="D31" s="463">
        <v>0</v>
      </c>
      <c r="E31" s="463">
        <v>0</v>
      </c>
      <c r="F31" s="464">
        <v>0</v>
      </c>
      <c r="G31" s="465">
        <v>0</v>
      </c>
      <c r="H31" s="333"/>
    </row>
    <row r="32" spans="1:8" outlineLevel="1">
      <c r="A32" s="213"/>
      <c r="B32" s="455" t="s">
        <v>515</v>
      </c>
      <c r="C32" s="462" t="s">
        <v>550</v>
      </c>
      <c r="D32" s="463">
        <v>0</v>
      </c>
      <c r="E32" s="463">
        <v>0</v>
      </c>
      <c r="F32" s="464">
        <v>0</v>
      </c>
      <c r="G32" s="465">
        <v>0</v>
      </c>
      <c r="H32" s="333"/>
    </row>
    <row r="33" spans="1:8" outlineLevel="1">
      <c r="A33" s="213"/>
      <c r="B33" s="455" t="s">
        <v>517</v>
      </c>
      <c r="C33" s="462" t="s">
        <v>550</v>
      </c>
      <c r="D33" s="463">
        <v>0</v>
      </c>
      <c r="E33" s="463">
        <v>0</v>
      </c>
      <c r="F33" s="464">
        <v>0</v>
      </c>
      <c r="G33" s="465">
        <v>0</v>
      </c>
      <c r="H33" s="333"/>
    </row>
    <row r="34" spans="1:8" outlineLevel="1">
      <c r="A34" s="213"/>
      <c r="B34" s="458" t="s">
        <v>519</v>
      </c>
      <c r="C34" s="466" t="s">
        <v>550</v>
      </c>
      <c r="D34" s="467">
        <v>0</v>
      </c>
      <c r="E34" s="467">
        <v>0</v>
      </c>
      <c r="F34" s="468">
        <v>0</v>
      </c>
      <c r="G34" s="468">
        <v>0</v>
      </c>
    </row>
    <row r="35" spans="1:8" outlineLevel="1"/>
    <row r="37" spans="1:8" s="213" customFormat="1">
      <c r="A37" s="177" t="s">
        <v>10</v>
      </c>
      <c r="B37" s="178" t="str">
        <f>+B39</f>
        <v>Inorganic Acquisitions</v>
      </c>
      <c r="C37" s="178"/>
      <c r="D37" s="179"/>
      <c r="E37" s="179"/>
      <c r="F37" s="179"/>
      <c r="G37" s="179"/>
    </row>
    <row r="38" spans="1:8" s="213" customFormat="1" outlineLevel="1">
      <c r="H38" s="180"/>
    </row>
    <row r="39" spans="1:8" s="213" customFormat="1" outlineLevel="1">
      <c r="A39" s="180"/>
      <c r="B39" s="469" t="s">
        <v>547</v>
      </c>
      <c r="C39" s="454" t="s">
        <v>12</v>
      </c>
      <c r="D39" s="470" t="s">
        <v>544</v>
      </c>
      <c r="E39" s="471" t="s">
        <v>545</v>
      </c>
      <c r="F39" s="471" t="s">
        <v>546</v>
      </c>
      <c r="G39" s="454" t="s">
        <v>547</v>
      </c>
      <c r="H39" s="201"/>
    </row>
    <row r="40" spans="1:8" outlineLevel="1">
      <c r="B40" s="472" t="s">
        <v>712</v>
      </c>
      <c r="C40" s="462" t="s">
        <v>461</v>
      </c>
      <c r="D40" s="473">
        <v>0</v>
      </c>
      <c r="E40" s="473">
        <v>0</v>
      </c>
      <c r="F40" s="474">
        <v>0</v>
      </c>
      <c r="G40" s="475">
        <v>16</v>
      </c>
      <c r="H40" s="370">
        <f>+G68</f>
        <v>64</v>
      </c>
    </row>
    <row r="41" spans="1:8" outlineLevel="1">
      <c r="B41" s="455" t="s">
        <v>713</v>
      </c>
      <c r="C41" s="462" t="s">
        <v>461</v>
      </c>
      <c r="D41" s="463"/>
      <c r="E41" s="463"/>
      <c r="F41" s="464"/>
      <c r="G41" s="475">
        <v>0</v>
      </c>
      <c r="H41" s="201"/>
    </row>
    <row r="42" spans="1:8" outlineLevel="1">
      <c r="B42" s="455" t="s">
        <v>706</v>
      </c>
      <c r="C42" s="462" t="s">
        <v>113</v>
      </c>
      <c r="D42" s="463">
        <v>0</v>
      </c>
      <c r="E42" s="463">
        <v>0</v>
      </c>
      <c r="F42" s="464">
        <v>0</v>
      </c>
      <c r="G42" s="476">
        <v>3.5</v>
      </c>
    </row>
    <row r="43" spans="1:8" outlineLevel="1">
      <c r="B43" s="455" t="s">
        <v>707</v>
      </c>
      <c r="C43" s="462" t="s">
        <v>67</v>
      </c>
      <c r="D43" s="463">
        <v>0</v>
      </c>
      <c r="E43" s="463">
        <v>0</v>
      </c>
      <c r="F43" s="464">
        <v>0</v>
      </c>
      <c r="G43" s="475">
        <v>0.2</v>
      </c>
    </row>
    <row r="44" spans="1:8" outlineLevel="1">
      <c r="B44" s="455" t="s">
        <v>556</v>
      </c>
      <c r="C44" s="462" t="s">
        <v>67</v>
      </c>
      <c r="D44" s="477">
        <v>0</v>
      </c>
      <c r="E44" s="478">
        <v>0</v>
      </c>
      <c r="F44" s="479">
        <v>0</v>
      </c>
      <c r="G44" s="480">
        <f>+G42*G48+G43</f>
        <v>0.81326320174282651</v>
      </c>
    </row>
    <row r="45" spans="1:8" outlineLevel="1">
      <c r="B45" s="455" t="s">
        <v>552</v>
      </c>
      <c r="C45" s="456" t="s">
        <v>67</v>
      </c>
      <c r="D45" s="481">
        <v>0</v>
      </c>
      <c r="E45" s="463">
        <v>0</v>
      </c>
      <c r="F45" s="464">
        <v>0</v>
      </c>
      <c r="G45" s="475">
        <v>2</v>
      </c>
    </row>
    <row r="46" spans="1:8" outlineLevel="1">
      <c r="B46" s="455" t="s">
        <v>553</v>
      </c>
      <c r="C46" s="456" t="s">
        <v>67</v>
      </c>
      <c r="D46" s="481">
        <v>0</v>
      </c>
      <c r="E46" s="463">
        <v>0</v>
      </c>
      <c r="F46" s="464">
        <v>0</v>
      </c>
      <c r="G46" s="475">
        <f>-G45*(1-Control!D18)</f>
        <v>-0.71978194235919246</v>
      </c>
      <c r="H46" s="482"/>
    </row>
    <row r="47" spans="1:8" outlineLevel="1">
      <c r="B47" s="458" t="s">
        <v>554</v>
      </c>
      <c r="C47" s="459" t="s">
        <v>67</v>
      </c>
      <c r="D47" s="483">
        <v>0</v>
      </c>
      <c r="E47" s="467">
        <v>0</v>
      </c>
      <c r="F47" s="468">
        <v>0</v>
      </c>
      <c r="G47" s="484">
        <v>-1.105</v>
      </c>
      <c r="H47" s="485"/>
    </row>
    <row r="48" spans="1:8" outlineLevel="1">
      <c r="B48" s="455" t="s">
        <v>555</v>
      </c>
      <c r="C48" s="456" t="s">
        <v>67</v>
      </c>
      <c r="D48" s="486"/>
      <c r="E48" s="478"/>
      <c r="F48" s="479"/>
      <c r="G48" s="480">
        <f>+SUM(G45:G47)</f>
        <v>0.17521805764080756</v>
      </c>
      <c r="H48" s="201"/>
    </row>
    <row r="49" spans="2:8" outlineLevel="1">
      <c r="B49" s="455" t="s">
        <v>558</v>
      </c>
      <c r="C49" s="456" t="s">
        <v>394</v>
      </c>
      <c r="D49" s="486"/>
      <c r="E49" s="478"/>
      <c r="F49" s="479"/>
      <c r="G49" s="480">
        <f>+G44/G48</f>
        <v>4.6414348651780788</v>
      </c>
    </row>
    <row r="50" spans="2:8" outlineLevel="1">
      <c r="B50" s="458" t="s">
        <v>557</v>
      </c>
      <c r="C50" s="459" t="s">
        <v>14</v>
      </c>
      <c r="D50" s="487"/>
      <c r="E50" s="488"/>
      <c r="F50" s="489"/>
      <c r="G50" s="490">
        <f>+G48/G45</f>
        <v>8.7609028820403778E-2</v>
      </c>
      <c r="H50" s="186"/>
    </row>
    <row r="51" spans="2:8" outlineLevel="1"/>
    <row r="52" spans="2:8">
      <c r="E52" s="491" t="s">
        <v>739</v>
      </c>
      <c r="G52" s="186"/>
    </row>
    <row r="53" spans="2:8">
      <c r="E53" s="492" t="s">
        <v>892</v>
      </c>
      <c r="F53" s="493" t="s">
        <v>67</v>
      </c>
      <c r="G53" s="494">
        <f>-Output!K127</f>
        <v>26.351633762422509</v>
      </c>
    </row>
    <row r="54" spans="2:8">
      <c r="E54" s="495" t="s">
        <v>742</v>
      </c>
      <c r="F54" s="496" t="s">
        <v>113</v>
      </c>
      <c r="G54" s="497">
        <v>3</v>
      </c>
    </row>
    <row r="55" spans="2:8">
      <c r="E55" s="498" t="s">
        <v>744</v>
      </c>
      <c r="F55" s="499" t="s">
        <v>67</v>
      </c>
      <c r="G55" s="218">
        <f>+G53*G54</f>
        <v>79.054901287267526</v>
      </c>
    </row>
    <row r="56" spans="2:8">
      <c r="E56" s="500" t="s">
        <v>740</v>
      </c>
      <c r="F56" s="493" t="s">
        <v>67</v>
      </c>
      <c r="G56" s="501">
        <v>0</v>
      </c>
    </row>
    <row r="57" spans="2:8">
      <c r="E57" s="502" t="s">
        <v>741</v>
      </c>
      <c r="F57" s="496" t="s">
        <v>67</v>
      </c>
      <c r="G57" s="503">
        <f>+Output!L69</f>
        <v>21.358342514285692</v>
      </c>
    </row>
    <row r="58" spans="2:8">
      <c r="E58" s="419" t="s">
        <v>743</v>
      </c>
      <c r="F58" s="499" t="s">
        <v>67</v>
      </c>
      <c r="G58" s="218">
        <f>+G55-G56+G57</f>
        <v>100.41324380155322</v>
      </c>
    </row>
    <row r="59" spans="2:8">
      <c r="E59" s="495" t="s">
        <v>745</v>
      </c>
      <c r="F59" s="496" t="s">
        <v>113</v>
      </c>
      <c r="G59" s="209">
        <f>+Control!D58</f>
        <v>10</v>
      </c>
    </row>
    <row r="60" spans="2:8">
      <c r="E60" s="419" t="s">
        <v>746</v>
      </c>
      <c r="F60" s="499" t="s">
        <v>67</v>
      </c>
      <c r="G60" s="218">
        <f>+G58/G59</f>
        <v>10.041324380155322</v>
      </c>
    </row>
    <row r="61" spans="2:8">
      <c r="E61" s="495" t="s">
        <v>747</v>
      </c>
      <c r="F61" s="496" t="s">
        <v>67</v>
      </c>
      <c r="G61" s="294">
        <f>+'Exec. Summary'!L26</f>
        <v>4.7673941653397236</v>
      </c>
    </row>
    <row r="62" spans="2:8">
      <c r="E62" s="498" t="s">
        <v>748</v>
      </c>
      <c r="F62" s="499" t="s">
        <v>67</v>
      </c>
      <c r="G62" s="219">
        <f>+G60-G61</f>
        <v>5.2739302148155982</v>
      </c>
    </row>
    <row r="63" spans="2:8">
      <c r="E63" s="495" t="s">
        <v>749</v>
      </c>
      <c r="F63" s="496" t="s">
        <v>67</v>
      </c>
      <c r="G63" s="504">
        <f>+G48</f>
        <v>0.17521805764080756</v>
      </c>
    </row>
    <row r="64" spans="2:8">
      <c r="E64" s="498" t="s">
        <v>750</v>
      </c>
      <c r="F64" s="499" t="s">
        <v>461</v>
      </c>
      <c r="G64" s="219">
        <f>ROUNDUP(+G62/G63,0)+1</f>
        <v>32</v>
      </c>
    </row>
    <row r="65" spans="5:7">
      <c r="E65" s="495" t="s">
        <v>753</v>
      </c>
      <c r="F65" s="496" t="str">
        <f>F63</f>
        <v>USD M</v>
      </c>
      <c r="G65" s="505">
        <f>+G44*G64</f>
        <v>26.024422455770448</v>
      </c>
    </row>
    <row r="66" spans="5:7">
      <c r="E66" s="506" t="str">
        <f>+B40</f>
        <v># Aquisitions per year (first year)</v>
      </c>
      <c r="F66" s="499" t="s">
        <v>461</v>
      </c>
      <c r="G66" s="405">
        <f>ROUNDUP(+G65/4,0)</f>
        <v>7</v>
      </c>
    </row>
    <row r="68" spans="5:7">
      <c r="E68" s="507" t="s">
        <v>751</v>
      </c>
      <c r="F68" s="493" t="s">
        <v>461</v>
      </c>
      <c r="G68" s="508">
        <f>+SUM('Value Creation Plan'!N56)</f>
        <v>64</v>
      </c>
    </row>
    <row r="70" spans="5:7">
      <c r="E70" s="507" t="s">
        <v>734</v>
      </c>
      <c r="F70" s="493" t="s">
        <v>113</v>
      </c>
      <c r="G70" s="206">
        <f>+Output!E137</f>
        <v>3.3191748572114497</v>
      </c>
    </row>
  </sheetData>
  <conditionalFormatting sqref="D20:F20">
    <cfRule type="iconSet" priority="1">
      <iconSet iconSet="3Symbols">
        <cfvo type="percent" val="0"/>
        <cfvo type="percent" val="33"/>
        <cfvo type="percent" val="67"/>
      </iconSet>
    </cfRule>
  </conditionalFormatting>
  <conditionalFormatting sqref="D24:G26 D21:F23 G20:G23">
    <cfRule type="iconSet" priority="3">
      <iconSet iconSet="3Symbols">
        <cfvo type="percent" val="0"/>
        <cfvo type="percent" val="33"/>
        <cfvo type="percent" val="67"/>
      </iconSet>
    </cfRule>
  </conditionalFormatting>
  <dataValidations disablePrompts="1" count="2">
    <dataValidation type="list" allowBlank="1" showInputMessage="1" showErrorMessage="1" sqref="D20:G26" xr:uid="{48C2F186-F957-46AA-BB26-37BA7DE46FD7}">
      <formula1>"1,0"</formula1>
    </dataValidation>
    <dataValidation type="list" allowBlank="1" showInputMessage="1" showErrorMessage="1" sqref="D15" xr:uid="{A2B7E266-DF1B-45CE-BE72-B301EBCF9804}">
      <formula1>$D$19:$G$19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0B6D-2CAB-4D2E-846C-6C4F7576B0C5}">
  <sheetPr>
    <tabColor theme="0" tint="-0.249977111117893"/>
    <outlinePr summaryBelow="0" summaryRight="0"/>
  </sheetPr>
  <dimension ref="A2:XET158"/>
  <sheetViews>
    <sheetView showGridLines="0" zoomScale="150" zoomScaleNormal="150" workbookViewId="0">
      <pane xSplit="3" ySplit="12" topLeftCell="D1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0" defaultRowHeight="16" outlineLevelRow="1" outlineLevelCol="1"/>
  <cols>
    <col min="1" max="1" width="2" style="180" bestFit="1" customWidth="1"/>
    <col min="2" max="2" width="2" style="180" customWidth="1"/>
    <col min="3" max="3" width="55.1640625" style="180" bestFit="1" customWidth="1"/>
    <col min="4" max="4" width="17.1640625" style="180" bestFit="1" customWidth="1" collapsed="1"/>
    <col min="5" max="5" width="10.1640625" style="180" hidden="1" customWidth="1" outlineLevel="1"/>
    <col min="6" max="6" width="12.1640625" style="180" hidden="1" customWidth="1" outlineLevel="1"/>
    <col min="7" max="7" width="11.6640625" style="180" hidden="1" customWidth="1" outlineLevel="1"/>
    <col min="8" max="8" width="5.5" style="180" hidden="1" customWidth="1" outlineLevel="1"/>
    <col min="9" max="9" width="12.33203125" style="180" customWidth="1" collapsed="1"/>
    <col min="10" max="10" width="9.6640625" style="333" customWidth="1"/>
    <col min="11" max="11" width="9.1640625" style="180" bestFit="1" customWidth="1"/>
    <col min="12" max="19" width="10.6640625" style="180" bestFit="1" customWidth="1"/>
    <col min="20" max="20" width="8.83203125" style="180" bestFit="1" customWidth="1"/>
    <col min="21" max="31" width="8.83203125" style="180" hidden="1"/>
    <col min="32" max="16374" width="8.6640625" style="180" hidden="1"/>
    <col min="16375" max="16384" width="0" style="180" hidden="1"/>
  </cols>
  <sheetData>
    <row r="2" spans="1:32">
      <c r="A2" s="177" t="s">
        <v>10</v>
      </c>
      <c r="B2" s="178" t="s">
        <v>219</v>
      </c>
      <c r="C2" s="178"/>
      <c r="D2" s="179"/>
    </row>
    <row r="3" spans="1:32" collapsed="1">
      <c r="B3" s="204"/>
      <c r="C3" s="509" t="str">
        <f>+Scenarios!B3</f>
        <v>Live Scenario</v>
      </c>
      <c r="D3" s="236" t="str">
        <f>+Scenarios!D3</f>
        <v>Inorganic Acquisitions</v>
      </c>
      <c r="E3" s="204"/>
    </row>
    <row r="4" spans="1:32" hidden="1" outlineLevel="1">
      <c r="B4" s="184" t="s">
        <v>220</v>
      </c>
      <c r="C4" s="182"/>
      <c r="D4" s="185">
        <f>+Control!D4</f>
        <v>8.671174765588284E-2</v>
      </c>
    </row>
    <row r="5" spans="1:32" hidden="1" outlineLevel="1">
      <c r="B5" s="184" t="s">
        <v>221</v>
      </c>
      <c r="C5" s="182"/>
      <c r="D5" s="185">
        <f>+Control!D5</f>
        <v>2.7535590762637903E-2</v>
      </c>
    </row>
    <row r="6" spans="1:32" hidden="1" outlineLevel="1">
      <c r="B6" s="184" t="str">
        <f>+Model!B321</f>
        <v>Unlevered IRR</v>
      </c>
      <c r="C6" s="182"/>
      <c r="D6" s="185">
        <f>+Control!D6</f>
        <v>0.27867027094547425</v>
      </c>
      <c r="E6" s="182"/>
    </row>
    <row r="7" spans="1:32" hidden="1" outlineLevel="1">
      <c r="B7" s="184" t="str">
        <f>+B68</f>
        <v>Revenue</v>
      </c>
      <c r="C7" s="182"/>
      <c r="D7" s="264">
        <f>+Control!D7</f>
        <v>0.1687335662136471</v>
      </c>
      <c r="E7" s="182"/>
    </row>
    <row r="8" spans="1:32" hidden="1" outlineLevel="1">
      <c r="B8" s="184" t="s">
        <v>393</v>
      </c>
      <c r="C8" s="182"/>
      <c r="D8" s="265">
        <f>+Control!D8</f>
        <v>10</v>
      </c>
      <c r="E8" s="182"/>
    </row>
    <row r="9" spans="1:32" hidden="1" outlineLevel="1">
      <c r="B9" s="184" t="s">
        <v>166</v>
      </c>
      <c r="C9" s="182"/>
      <c r="D9" s="190">
        <f>+Control!D9</f>
        <v>0.39345196829848961</v>
      </c>
      <c r="E9" s="182"/>
    </row>
    <row r="10" spans="1:32" hidden="1" outlineLevel="1">
      <c r="B10" s="184" t="s">
        <v>433</v>
      </c>
      <c r="C10" s="182"/>
      <c r="D10" s="266">
        <f>+Control!D12</f>
        <v>0</v>
      </c>
    </row>
    <row r="12" spans="1:32" s="514" customFormat="1">
      <c r="A12" s="177" t="s">
        <v>10</v>
      </c>
      <c r="B12" s="510" t="s">
        <v>497</v>
      </c>
      <c r="C12" s="510"/>
      <c r="D12" s="511" t="s">
        <v>12</v>
      </c>
      <c r="E12" s="511"/>
      <c r="F12" s="512"/>
      <c r="G12" s="512"/>
      <c r="H12" s="511"/>
      <c r="I12" s="512"/>
      <c r="J12" s="513">
        <v>2024</v>
      </c>
      <c r="K12" s="512">
        <v>2025</v>
      </c>
      <c r="L12" s="512">
        <v>2026</v>
      </c>
      <c r="M12" s="512">
        <v>2027</v>
      </c>
      <c r="N12" s="512">
        <v>2028</v>
      </c>
      <c r="O12" s="512">
        <v>2029</v>
      </c>
      <c r="P12" s="512">
        <v>2030</v>
      </c>
      <c r="Q12" s="512">
        <v>2031</v>
      </c>
      <c r="R12" s="512">
        <v>2032</v>
      </c>
      <c r="S12" s="512">
        <v>2033</v>
      </c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</row>
    <row r="13" spans="1:32" s="516" customFormat="1">
      <c r="A13" s="514"/>
      <c r="B13" s="514"/>
      <c r="C13" s="515"/>
      <c r="J13" s="517"/>
      <c r="K13" s="518"/>
    </row>
    <row r="14" spans="1:32" s="516" customFormat="1">
      <c r="A14" s="177" t="s">
        <v>10</v>
      </c>
      <c r="B14" s="178" t="s">
        <v>497</v>
      </c>
      <c r="C14" s="519"/>
      <c r="D14" s="178"/>
      <c r="E14" s="178"/>
      <c r="F14" s="178"/>
      <c r="G14" s="178"/>
      <c r="H14" s="178"/>
      <c r="I14" s="178"/>
      <c r="J14" s="520"/>
      <c r="K14" s="178"/>
      <c r="L14" s="178"/>
      <c r="M14" s="178"/>
      <c r="N14" s="178"/>
      <c r="O14" s="178"/>
      <c r="P14" s="178"/>
      <c r="Q14" s="178"/>
      <c r="R14" s="178"/>
      <c r="S14" s="178"/>
      <c r="T14" s="518"/>
      <c r="U14" s="518"/>
      <c r="V14" s="518"/>
      <c r="W14" s="518"/>
      <c r="X14" s="518"/>
      <c r="Y14" s="518"/>
      <c r="Z14" s="518"/>
      <c r="AA14" s="518"/>
      <c r="AB14" s="518"/>
      <c r="AC14" s="518"/>
      <c r="AD14" s="518"/>
      <c r="AE14" s="518"/>
    </row>
    <row r="15" spans="1:32" s="516" customFormat="1" outlineLevel="1">
      <c r="A15" s="514"/>
      <c r="B15" s="514"/>
      <c r="C15" s="515"/>
      <c r="F15" s="521" t="s">
        <v>505</v>
      </c>
      <c r="J15" s="517"/>
      <c r="K15" s="518"/>
    </row>
    <row r="16" spans="1:32" s="516" customFormat="1" outlineLevel="1">
      <c r="A16" s="514"/>
      <c r="B16" s="423" t="s">
        <v>506</v>
      </c>
      <c r="D16" s="182" t="s">
        <v>514</v>
      </c>
      <c r="F16" s="522">
        <f>+INDEX(Scenarios!$D$20:$G$20,1,MATCH('Value Creation Plan'!$D$3,Scenarios!$D$19:$G$19,0))</f>
        <v>1</v>
      </c>
      <c r="J16" s="517"/>
      <c r="K16" s="518"/>
    </row>
    <row r="17" spans="1:31" s="516" customFormat="1" outlineLevel="1">
      <c r="A17" s="514"/>
      <c r="B17" s="514"/>
      <c r="C17" s="515"/>
      <c r="J17" s="517"/>
      <c r="K17" s="518"/>
    </row>
    <row r="18" spans="1:31" s="516" customFormat="1" outlineLevel="1">
      <c r="A18" s="514"/>
      <c r="B18" s="523" t="s">
        <v>508</v>
      </c>
      <c r="I18" s="524"/>
      <c r="J18" s="517"/>
      <c r="K18" s="518"/>
      <c r="L18" s="518"/>
      <c r="M18" s="518"/>
      <c r="N18" s="518"/>
      <c r="O18" s="518"/>
      <c r="P18" s="518"/>
      <c r="Q18" s="518"/>
      <c r="R18" s="518"/>
      <c r="S18" s="518"/>
      <c r="T18" s="518"/>
      <c r="U18" s="518"/>
      <c r="V18" s="518"/>
      <c r="W18" s="518"/>
      <c r="X18" s="518"/>
      <c r="Y18" s="518"/>
      <c r="Z18" s="518"/>
      <c r="AA18" s="518"/>
      <c r="AB18" s="518"/>
      <c r="AC18" s="518"/>
      <c r="AD18" s="518"/>
      <c r="AE18" s="518"/>
    </row>
    <row r="19" spans="1:31" s="516" customFormat="1" outlineLevel="1">
      <c r="A19" s="514"/>
      <c r="B19" s="514"/>
      <c r="C19" s="525"/>
      <c r="F19" s="521" t="s">
        <v>505</v>
      </c>
      <c r="I19" s="524"/>
      <c r="J19" s="517"/>
      <c r="K19" s="518"/>
      <c r="L19" s="518"/>
      <c r="M19" s="518"/>
      <c r="N19" s="518"/>
      <c r="O19" s="518"/>
      <c r="P19" s="518"/>
      <c r="Q19" s="518"/>
      <c r="R19" s="518"/>
      <c r="S19" s="518"/>
      <c r="T19" s="518"/>
      <c r="U19" s="518"/>
      <c r="V19" s="518"/>
      <c r="W19" s="518"/>
      <c r="X19" s="518"/>
      <c r="Y19" s="518"/>
      <c r="Z19" s="518"/>
      <c r="AA19" s="518"/>
      <c r="AB19" s="518"/>
      <c r="AC19" s="518"/>
      <c r="AD19" s="518"/>
      <c r="AE19" s="518"/>
    </row>
    <row r="20" spans="1:31" s="516" customFormat="1" outlineLevel="1">
      <c r="A20" s="514"/>
      <c r="B20" s="514"/>
      <c r="C20" s="526" t="s">
        <v>513</v>
      </c>
      <c r="D20" s="182" t="s">
        <v>514</v>
      </c>
      <c r="F20" s="522" cm="1">
        <f t="array" ref="F20">+INDEX(Scenarios!$D$21:$G$21,0,MATCH(Scenarios!$D$15,Scenarios!$D$19:$G$19,0))</f>
        <v>0</v>
      </c>
      <c r="I20" s="524"/>
      <c r="J20" s="517"/>
      <c r="K20" s="518"/>
      <c r="L20" s="518"/>
      <c r="M20" s="518"/>
      <c r="N20" s="518"/>
      <c r="O20" s="518"/>
      <c r="P20" s="518"/>
      <c r="Q20" s="518"/>
      <c r="R20" s="518"/>
      <c r="S20" s="518"/>
      <c r="T20" s="518"/>
      <c r="U20" s="518"/>
      <c r="V20" s="518"/>
      <c r="W20" s="518"/>
      <c r="X20" s="518"/>
      <c r="Y20" s="518"/>
      <c r="Z20" s="518"/>
      <c r="AA20" s="518"/>
      <c r="AB20" s="518"/>
      <c r="AC20" s="518"/>
      <c r="AD20" s="518"/>
      <c r="AE20" s="518"/>
    </row>
    <row r="21" spans="1:31" s="516" customFormat="1" outlineLevel="1">
      <c r="A21" s="514"/>
      <c r="B21" s="514"/>
      <c r="C21" s="525"/>
      <c r="I21" s="524"/>
      <c r="J21" s="517"/>
      <c r="K21" s="518"/>
      <c r="L21" s="518"/>
      <c r="M21" s="518"/>
      <c r="N21" s="518"/>
      <c r="O21" s="518"/>
      <c r="P21" s="518"/>
      <c r="Q21" s="518"/>
      <c r="R21" s="518"/>
      <c r="S21" s="518"/>
      <c r="T21" s="518"/>
      <c r="U21" s="518"/>
      <c r="V21" s="518"/>
      <c r="W21" s="518"/>
      <c r="X21" s="518"/>
      <c r="Y21" s="518"/>
      <c r="Z21" s="518"/>
      <c r="AA21" s="518"/>
      <c r="AB21" s="518"/>
      <c r="AC21" s="518"/>
      <c r="AD21" s="518"/>
      <c r="AE21" s="518"/>
    </row>
    <row r="22" spans="1:31" s="516" customFormat="1" outlineLevel="1">
      <c r="A22" s="514"/>
      <c r="B22" s="514"/>
      <c r="C22" s="525"/>
      <c r="F22" s="521" t="s">
        <v>503</v>
      </c>
      <c r="G22" s="521" t="s">
        <v>504</v>
      </c>
      <c r="I22" s="524"/>
      <c r="J22" s="517"/>
      <c r="K22" s="518"/>
      <c r="L22" s="518"/>
      <c r="M22" s="518"/>
      <c r="N22" s="518"/>
      <c r="O22" s="518"/>
      <c r="P22" s="518"/>
      <c r="Q22" s="518"/>
      <c r="R22" s="518"/>
      <c r="S22" s="518"/>
      <c r="T22" s="518"/>
      <c r="U22" s="518"/>
      <c r="V22" s="518"/>
      <c r="W22" s="518"/>
      <c r="X22" s="518"/>
      <c r="Y22" s="518"/>
      <c r="Z22" s="518"/>
      <c r="AA22" s="518"/>
      <c r="AB22" s="518"/>
      <c r="AC22" s="518"/>
      <c r="AD22" s="518"/>
      <c r="AE22" s="518"/>
    </row>
    <row r="23" spans="1:31" s="516" customFormat="1" outlineLevel="1">
      <c r="A23" s="514"/>
      <c r="B23" s="514"/>
      <c r="C23" s="527" t="s">
        <v>498</v>
      </c>
      <c r="D23" s="208" t="s">
        <v>67</v>
      </c>
      <c r="E23" s="519"/>
      <c r="F23" s="528" cm="1">
        <f t="array" ref="F23">+INDEX(Scenarios!D31:G31,0,MATCH(Scenarios!D15,Scenarios!D30:G30,0))</f>
        <v>0</v>
      </c>
      <c r="G23" s="529">
        <f>696390.46/10^6</f>
        <v>0.69639045999999993</v>
      </c>
      <c r="H23" s="519"/>
      <c r="I23" s="519"/>
      <c r="J23" s="530">
        <f>+$F$16*$G23*$F23*$F$20</f>
        <v>0</v>
      </c>
      <c r="K23" s="531">
        <f t="shared" ref="K23:S23" si="0">+$F$16*$G23*$F23*$F$20</f>
        <v>0</v>
      </c>
      <c r="L23" s="531">
        <f t="shared" si="0"/>
        <v>0</v>
      </c>
      <c r="M23" s="531">
        <f t="shared" si="0"/>
        <v>0</v>
      </c>
      <c r="N23" s="531">
        <f t="shared" si="0"/>
        <v>0</v>
      </c>
      <c r="O23" s="531">
        <f t="shared" si="0"/>
        <v>0</v>
      </c>
      <c r="P23" s="531">
        <f t="shared" si="0"/>
        <v>0</v>
      </c>
      <c r="Q23" s="531">
        <f t="shared" si="0"/>
        <v>0</v>
      </c>
      <c r="R23" s="531">
        <f t="shared" si="0"/>
        <v>0</v>
      </c>
      <c r="S23" s="531">
        <f t="shared" si="0"/>
        <v>0</v>
      </c>
    </row>
    <row r="24" spans="1:31" s="376" customFormat="1" outlineLevel="1">
      <c r="A24" s="417"/>
      <c r="B24" s="417"/>
      <c r="C24" s="532" t="s">
        <v>510</v>
      </c>
      <c r="D24" s="211" t="s">
        <v>67</v>
      </c>
      <c r="G24" s="533"/>
      <c r="I24" s="534">
        <f>+SUM(J24:S24)</f>
        <v>0</v>
      </c>
      <c r="J24" s="418">
        <f t="shared" ref="J24:S24" si="1">SUM(J23:J23)</f>
        <v>0</v>
      </c>
      <c r="K24" s="418">
        <f t="shared" si="1"/>
        <v>0</v>
      </c>
      <c r="L24" s="418">
        <f t="shared" si="1"/>
        <v>0</v>
      </c>
      <c r="M24" s="418">
        <f t="shared" si="1"/>
        <v>0</v>
      </c>
      <c r="N24" s="418">
        <f t="shared" si="1"/>
        <v>0</v>
      </c>
      <c r="O24" s="418">
        <f t="shared" si="1"/>
        <v>0</v>
      </c>
      <c r="P24" s="418">
        <f t="shared" si="1"/>
        <v>0</v>
      </c>
      <c r="Q24" s="418">
        <f t="shared" si="1"/>
        <v>0</v>
      </c>
      <c r="R24" s="418">
        <f t="shared" si="1"/>
        <v>0</v>
      </c>
      <c r="S24" s="418">
        <f t="shared" si="1"/>
        <v>0</v>
      </c>
    </row>
    <row r="25" spans="1:31" s="516" customFormat="1" outlineLevel="1">
      <c r="A25" s="514"/>
      <c r="B25" s="514"/>
      <c r="C25" s="535"/>
      <c r="J25" s="517"/>
      <c r="K25" s="518"/>
    </row>
    <row r="26" spans="1:31" s="516" customFormat="1" outlineLevel="1">
      <c r="A26" s="514"/>
      <c r="B26" s="523" t="s">
        <v>515</v>
      </c>
      <c r="I26" s="524"/>
      <c r="J26" s="517"/>
      <c r="K26" s="518"/>
      <c r="L26" s="518"/>
      <c r="M26" s="518"/>
      <c r="N26" s="518"/>
      <c r="O26" s="518"/>
      <c r="P26" s="518"/>
      <c r="Q26" s="518"/>
      <c r="R26" s="518"/>
      <c r="S26" s="518"/>
      <c r="T26" s="518"/>
      <c r="U26" s="518"/>
      <c r="V26" s="518"/>
      <c r="W26" s="518"/>
      <c r="X26" s="518"/>
      <c r="Y26" s="518"/>
      <c r="Z26" s="518"/>
      <c r="AA26" s="518"/>
      <c r="AB26" s="518"/>
      <c r="AC26" s="518"/>
      <c r="AD26" s="518"/>
      <c r="AE26" s="518"/>
    </row>
    <row r="27" spans="1:31" s="516" customFormat="1" outlineLevel="1">
      <c r="A27" s="514"/>
      <c r="B27" s="514"/>
      <c r="C27" s="525"/>
      <c r="F27" s="521" t="s">
        <v>505</v>
      </c>
      <c r="I27" s="524"/>
      <c r="J27" s="517"/>
      <c r="K27" s="518"/>
      <c r="L27" s="518"/>
      <c r="M27" s="518"/>
      <c r="N27" s="518"/>
      <c r="O27" s="518"/>
      <c r="P27" s="518"/>
      <c r="Q27" s="518"/>
      <c r="R27" s="518"/>
      <c r="S27" s="518"/>
      <c r="T27" s="518"/>
      <c r="U27" s="518"/>
      <c r="V27" s="518"/>
      <c r="W27" s="518"/>
      <c r="X27" s="518"/>
      <c r="Y27" s="518"/>
      <c r="Z27" s="518"/>
      <c r="AA27" s="518"/>
      <c r="AB27" s="518"/>
      <c r="AC27" s="518"/>
      <c r="AD27" s="518"/>
      <c r="AE27" s="518"/>
    </row>
    <row r="28" spans="1:31" s="516" customFormat="1" outlineLevel="1">
      <c r="A28" s="514"/>
      <c r="B28" s="514"/>
      <c r="C28" s="526" t="s">
        <v>516</v>
      </c>
      <c r="D28" s="182" t="s">
        <v>514</v>
      </c>
      <c r="F28" s="522" cm="1">
        <f t="array" ref="F28">+INDEX(Scenarios!D22:G22,0,MATCH(Scenarios!D15,Scenarios!$D$19:$G$19,0))</f>
        <v>0</v>
      </c>
      <c r="I28" s="524"/>
      <c r="J28" s="517"/>
      <c r="K28" s="518"/>
      <c r="L28" s="518"/>
      <c r="M28" s="518"/>
      <c r="N28" s="518"/>
      <c r="O28" s="518"/>
      <c r="P28" s="518"/>
      <c r="Q28" s="518"/>
      <c r="R28" s="518"/>
      <c r="S28" s="518"/>
      <c r="T28" s="518"/>
      <c r="U28" s="518"/>
      <c r="V28" s="518"/>
      <c r="W28" s="518"/>
      <c r="X28" s="518"/>
      <c r="Y28" s="518"/>
      <c r="Z28" s="518"/>
      <c r="AA28" s="518"/>
      <c r="AB28" s="518"/>
      <c r="AC28" s="518"/>
      <c r="AD28" s="518"/>
      <c r="AE28" s="518"/>
    </row>
    <row r="29" spans="1:31" s="516" customFormat="1" outlineLevel="1">
      <c r="A29" s="514"/>
      <c r="B29" s="514"/>
      <c r="C29" s="536"/>
      <c r="D29" s="182"/>
      <c r="I29" s="524"/>
      <c r="J29" s="517"/>
      <c r="K29" s="518"/>
      <c r="L29" s="518"/>
      <c r="M29" s="518"/>
      <c r="N29" s="518"/>
      <c r="O29" s="518"/>
      <c r="P29" s="518"/>
      <c r="Q29" s="518"/>
      <c r="R29" s="518"/>
      <c r="S29" s="518"/>
      <c r="T29" s="518"/>
      <c r="U29" s="518"/>
      <c r="V29" s="518"/>
      <c r="W29" s="518"/>
      <c r="X29" s="518"/>
      <c r="Y29" s="518"/>
      <c r="Z29" s="518"/>
      <c r="AA29" s="518"/>
      <c r="AB29" s="518"/>
      <c r="AC29" s="518"/>
      <c r="AD29" s="518"/>
      <c r="AE29" s="518"/>
    </row>
    <row r="30" spans="1:31" s="516" customFormat="1" outlineLevel="1">
      <c r="A30" s="514"/>
      <c r="B30" s="514"/>
      <c r="C30" s="525"/>
      <c r="F30" s="521" t="s">
        <v>503</v>
      </c>
      <c r="G30" s="537" t="s">
        <v>504</v>
      </c>
      <c r="I30" s="524"/>
      <c r="J30" s="517"/>
      <c r="K30" s="518"/>
      <c r="L30" s="518"/>
      <c r="M30" s="518"/>
      <c r="N30" s="518"/>
      <c r="O30" s="518"/>
      <c r="P30" s="518"/>
      <c r="Q30" s="518"/>
      <c r="R30" s="518"/>
      <c r="S30" s="518"/>
      <c r="T30" s="518"/>
      <c r="U30" s="518"/>
      <c r="V30" s="518"/>
      <c r="W30" s="518"/>
      <c r="X30" s="518"/>
      <c r="Y30" s="518"/>
      <c r="Z30" s="518"/>
      <c r="AA30" s="518"/>
      <c r="AB30" s="518"/>
      <c r="AC30" s="518"/>
      <c r="AD30" s="518"/>
      <c r="AE30" s="518"/>
    </row>
    <row r="31" spans="1:31" s="516" customFormat="1" outlineLevel="1">
      <c r="A31" s="514"/>
      <c r="B31" s="514"/>
      <c r="C31" s="527" t="s">
        <v>499</v>
      </c>
      <c r="D31" s="208" t="s">
        <v>67</v>
      </c>
      <c r="E31" s="519"/>
      <c r="F31" s="528" cm="1">
        <f t="array" ref="F31">+INDEX(Scenarios!D32:G32,0,MATCH(Scenarios!D15,Scenarios!D30:G30,0))</f>
        <v>0</v>
      </c>
      <c r="G31" s="529">
        <f>918599.47/10^6</f>
        <v>0.91859946999999997</v>
      </c>
      <c r="H31" s="519"/>
      <c r="I31" s="519"/>
      <c r="J31" s="530">
        <f t="shared" ref="J31:S31" si="2">+$F$16*$G31*$F31*$F$28</f>
        <v>0</v>
      </c>
      <c r="K31" s="531">
        <f t="shared" si="2"/>
        <v>0</v>
      </c>
      <c r="L31" s="531">
        <f t="shared" si="2"/>
        <v>0</v>
      </c>
      <c r="M31" s="531">
        <f t="shared" si="2"/>
        <v>0</v>
      </c>
      <c r="N31" s="531">
        <f t="shared" si="2"/>
        <v>0</v>
      </c>
      <c r="O31" s="531">
        <f t="shared" si="2"/>
        <v>0</v>
      </c>
      <c r="P31" s="531">
        <f t="shared" si="2"/>
        <v>0</v>
      </c>
      <c r="Q31" s="531">
        <f t="shared" si="2"/>
        <v>0</v>
      </c>
      <c r="R31" s="531">
        <f t="shared" si="2"/>
        <v>0</v>
      </c>
      <c r="S31" s="531">
        <f t="shared" si="2"/>
        <v>0</v>
      </c>
    </row>
    <row r="32" spans="1:31" s="376" customFormat="1" outlineLevel="1">
      <c r="A32" s="417"/>
      <c r="B32" s="417"/>
      <c r="C32" s="532" t="s">
        <v>509</v>
      </c>
      <c r="D32" s="211" t="s">
        <v>67</v>
      </c>
      <c r="G32" s="533"/>
      <c r="I32" s="534">
        <f>+SUM(J32:S32)</f>
        <v>0</v>
      </c>
      <c r="J32" s="418">
        <f t="shared" ref="J32:S32" si="3">SUM(J31:J31)</f>
        <v>0</v>
      </c>
      <c r="K32" s="418">
        <f t="shared" si="3"/>
        <v>0</v>
      </c>
      <c r="L32" s="418">
        <f t="shared" si="3"/>
        <v>0</v>
      </c>
      <c r="M32" s="418">
        <f t="shared" si="3"/>
        <v>0</v>
      </c>
      <c r="N32" s="418">
        <f t="shared" si="3"/>
        <v>0</v>
      </c>
      <c r="O32" s="418">
        <f t="shared" si="3"/>
        <v>0</v>
      </c>
      <c r="P32" s="418">
        <f t="shared" si="3"/>
        <v>0</v>
      </c>
      <c r="Q32" s="418">
        <f t="shared" si="3"/>
        <v>0</v>
      </c>
      <c r="R32" s="418">
        <f t="shared" si="3"/>
        <v>0</v>
      </c>
      <c r="S32" s="418">
        <f t="shared" si="3"/>
        <v>0</v>
      </c>
    </row>
    <row r="33" spans="1:31" s="516" customFormat="1" outlineLevel="1">
      <c r="A33" s="514"/>
      <c r="B33" s="514"/>
      <c r="C33" s="535"/>
      <c r="J33" s="517"/>
      <c r="K33" s="518"/>
    </row>
    <row r="34" spans="1:31" s="516" customFormat="1" outlineLevel="1">
      <c r="A34" s="514"/>
      <c r="B34" s="514"/>
      <c r="C34" s="535"/>
      <c r="J34" s="517"/>
      <c r="K34" s="518"/>
    </row>
    <row r="35" spans="1:31" s="516" customFormat="1" outlineLevel="1">
      <c r="A35" s="514"/>
      <c r="B35" s="523" t="s">
        <v>517</v>
      </c>
      <c r="I35" s="524"/>
      <c r="J35" s="517"/>
      <c r="K35" s="518"/>
      <c r="L35" s="518"/>
      <c r="M35" s="518"/>
      <c r="N35" s="518"/>
      <c r="O35" s="518"/>
      <c r="P35" s="518"/>
      <c r="Q35" s="518"/>
      <c r="R35" s="518"/>
      <c r="S35" s="518"/>
      <c r="T35" s="518"/>
      <c r="U35" s="518"/>
      <c r="V35" s="518"/>
      <c r="W35" s="518"/>
      <c r="X35" s="518"/>
      <c r="Y35" s="518"/>
      <c r="Z35" s="518"/>
      <c r="AA35" s="518"/>
      <c r="AB35" s="518"/>
      <c r="AC35" s="518"/>
      <c r="AD35" s="518"/>
      <c r="AE35" s="518"/>
    </row>
    <row r="36" spans="1:31" s="516" customFormat="1" outlineLevel="1">
      <c r="A36" s="514"/>
      <c r="B36" s="514"/>
      <c r="C36" s="525"/>
      <c r="F36" s="521" t="s">
        <v>505</v>
      </c>
      <c r="I36" s="524"/>
      <c r="J36" s="517"/>
      <c r="K36" s="518"/>
      <c r="L36" s="518"/>
      <c r="M36" s="518"/>
      <c r="N36" s="518"/>
      <c r="O36" s="518"/>
      <c r="P36" s="518"/>
      <c r="Q36" s="518"/>
      <c r="R36" s="518"/>
      <c r="S36" s="518"/>
      <c r="T36" s="518"/>
      <c r="U36" s="518"/>
      <c r="V36" s="518"/>
      <c r="W36" s="518"/>
      <c r="X36" s="518"/>
      <c r="Y36" s="518"/>
      <c r="Z36" s="518"/>
      <c r="AA36" s="518"/>
      <c r="AB36" s="518"/>
      <c r="AC36" s="518"/>
      <c r="AD36" s="518"/>
      <c r="AE36" s="518"/>
    </row>
    <row r="37" spans="1:31" s="516" customFormat="1" outlineLevel="1">
      <c r="A37" s="514"/>
      <c r="B37" s="514"/>
      <c r="C37" s="526" t="s">
        <v>518</v>
      </c>
      <c r="D37" s="182" t="s">
        <v>514</v>
      </c>
      <c r="F37" s="522" cm="1">
        <f t="array" ref="F37">+INDEX(Scenarios!D23:G23,0,MATCH(Scenarios!D15,Scenarios!D19:G19,0))</f>
        <v>0</v>
      </c>
      <c r="I37" s="524"/>
      <c r="J37" s="517"/>
      <c r="K37" s="518"/>
      <c r="L37" s="518"/>
      <c r="M37" s="518"/>
      <c r="N37" s="518"/>
      <c r="O37" s="518"/>
      <c r="P37" s="518"/>
      <c r="Q37" s="518"/>
      <c r="R37" s="518"/>
      <c r="S37" s="518"/>
      <c r="T37" s="518"/>
      <c r="U37" s="518"/>
      <c r="V37" s="518"/>
      <c r="W37" s="518"/>
      <c r="X37" s="518"/>
      <c r="Y37" s="518"/>
      <c r="Z37" s="518"/>
      <c r="AA37" s="518"/>
      <c r="AB37" s="518"/>
      <c r="AC37" s="518"/>
      <c r="AD37" s="518"/>
      <c r="AE37" s="518"/>
    </row>
    <row r="38" spans="1:31" s="516" customFormat="1" outlineLevel="1">
      <c r="A38" s="514"/>
      <c r="B38" s="514"/>
      <c r="C38" s="525"/>
      <c r="I38" s="524"/>
      <c r="J38" s="517"/>
      <c r="K38" s="518"/>
      <c r="L38" s="518"/>
      <c r="M38" s="518"/>
      <c r="N38" s="518"/>
      <c r="O38" s="518"/>
      <c r="P38" s="518"/>
      <c r="Q38" s="518"/>
      <c r="R38" s="518"/>
      <c r="S38" s="518"/>
      <c r="T38" s="518"/>
      <c r="U38" s="518"/>
      <c r="V38" s="518"/>
      <c r="W38" s="518"/>
      <c r="X38" s="518"/>
      <c r="Y38" s="518"/>
      <c r="Z38" s="518"/>
      <c r="AA38" s="518"/>
      <c r="AB38" s="518"/>
      <c r="AC38" s="518"/>
      <c r="AD38" s="518"/>
      <c r="AE38" s="518"/>
    </row>
    <row r="39" spans="1:31" s="516" customFormat="1" outlineLevel="1">
      <c r="A39" s="514"/>
      <c r="B39" s="514"/>
      <c r="C39" s="525"/>
      <c r="F39" s="521" t="s">
        <v>503</v>
      </c>
      <c r="G39" s="521" t="s">
        <v>504</v>
      </c>
      <c r="I39" s="524"/>
      <c r="J39" s="517"/>
      <c r="K39" s="518"/>
      <c r="L39" s="518"/>
      <c r="M39" s="518"/>
      <c r="N39" s="518"/>
      <c r="O39" s="518"/>
      <c r="P39" s="518"/>
      <c r="Q39" s="518"/>
      <c r="R39" s="518"/>
      <c r="S39" s="518"/>
      <c r="T39" s="518"/>
      <c r="U39" s="518"/>
      <c r="V39" s="518"/>
      <c r="W39" s="518"/>
      <c r="X39" s="518"/>
      <c r="Y39" s="518"/>
      <c r="Z39" s="518"/>
      <c r="AA39" s="518"/>
      <c r="AB39" s="518"/>
      <c r="AC39" s="518"/>
      <c r="AD39" s="518"/>
      <c r="AE39" s="518"/>
    </row>
    <row r="40" spans="1:31" s="516" customFormat="1" outlineLevel="1">
      <c r="A40" s="514"/>
      <c r="B40" s="514"/>
      <c r="C40" s="538" t="s">
        <v>500</v>
      </c>
      <c r="D40" s="208" t="s">
        <v>67</v>
      </c>
      <c r="E40" s="519"/>
      <c r="F40" s="528" cm="1">
        <f t="array" ref="F40">+INDEX(Scenarios!D33:G33,0,MATCH(Scenarios!D15,Scenarios!D30:G30,0))</f>
        <v>0</v>
      </c>
      <c r="G40" s="529">
        <f>221522.61/10^6</f>
        <v>0.22152260999999998</v>
      </c>
      <c r="H40" s="519"/>
      <c r="I40" s="519"/>
      <c r="J40" s="530">
        <f t="shared" ref="J40:S40" si="4">+$F$16*$G40*$F40*$F$37</f>
        <v>0</v>
      </c>
      <c r="K40" s="531">
        <f t="shared" si="4"/>
        <v>0</v>
      </c>
      <c r="L40" s="531">
        <f t="shared" si="4"/>
        <v>0</v>
      </c>
      <c r="M40" s="531">
        <f t="shared" si="4"/>
        <v>0</v>
      </c>
      <c r="N40" s="531">
        <f t="shared" si="4"/>
        <v>0</v>
      </c>
      <c r="O40" s="531">
        <f t="shared" si="4"/>
        <v>0</v>
      </c>
      <c r="P40" s="531">
        <f t="shared" si="4"/>
        <v>0</v>
      </c>
      <c r="Q40" s="531">
        <f t="shared" si="4"/>
        <v>0</v>
      </c>
      <c r="R40" s="531">
        <f t="shared" si="4"/>
        <v>0</v>
      </c>
      <c r="S40" s="531">
        <f t="shared" si="4"/>
        <v>0</v>
      </c>
    </row>
    <row r="41" spans="1:31" s="516" customFormat="1" outlineLevel="1">
      <c r="A41" s="514"/>
      <c r="B41" s="514"/>
      <c r="C41" s="532" t="s">
        <v>511</v>
      </c>
      <c r="D41" s="211" t="s">
        <v>67</v>
      </c>
      <c r="I41" s="534">
        <f>+SUM(J41:S41)</f>
        <v>0</v>
      </c>
      <c r="J41" s="418">
        <f t="shared" ref="J41:S41" si="5">SUM(J40:J40)</f>
        <v>0</v>
      </c>
      <c r="K41" s="418">
        <f t="shared" si="5"/>
        <v>0</v>
      </c>
      <c r="L41" s="418">
        <f t="shared" si="5"/>
        <v>0</v>
      </c>
      <c r="M41" s="418">
        <f t="shared" si="5"/>
        <v>0</v>
      </c>
      <c r="N41" s="418">
        <f t="shared" si="5"/>
        <v>0</v>
      </c>
      <c r="O41" s="418">
        <f t="shared" si="5"/>
        <v>0</v>
      </c>
      <c r="P41" s="418">
        <f t="shared" si="5"/>
        <v>0</v>
      </c>
      <c r="Q41" s="418">
        <f t="shared" si="5"/>
        <v>0</v>
      </c>
      <c r="R41" s="418">
        <f t="shared" si="5"/>
        <v>0</v>
      </c>
      <c r="S41" s="418">
        <f t="shared" si="5"/>
        <v>0</v>
      </c>
    </row>
    <row r="42" spans="1:31" s="516" customFormat="1" outlineLevel="1">
      <c r="A42" s="514"/>
      <c r="B42" s="514"/>
      <c r="C42" s="535"/>
      <c r="J42" s="517"/>
      <c r="K42" s="518"/>
    </row>
    <row r="43" spans="1:31" s="516" customFormat="1" outlineLevel="1">
      <c r="A43" s="514"/>
      <c r="B43" s="523" t="s">
        <v>519</v>
      </c>
      <c r="I43" s="539"/>
      <c r="J43" s="517"/>
      <c r="K43" s="518"/>
      <c r="L43" s="518"/>
      <c r="M43" s="518"/>
      <c r="N43" s="518"/>
      <c r="O43" s="518"/>
      <c r="P43" s="518"/>
      <c r="Q43" s="518"/>
      <c r="R43" s="518"/>
      <c r="S43" s="518"/>
      <c r="T43" s="518"/>
      <c r="U43" s="518"/>
      <c r="V43" s="518"/>
      <c r="W43" s="518"/>
      <c r="X43" s="518"/>
      <c r="Y43" s="518"/>
      <c r="Z43" s="518"/>
      <c r="AA43" s="518"/>
      <c r="AB43" s="518"/>
      <c r="AC43" s="518"/>
      <c r="AD43" s="518"/>
      <c r="AE43" s="518"/>
    </row>
    <row r="44" spans="1:31" s="516" customFormat="1" outlineLevel="1">
      <c r="A44" s="514"/>
      <c r="B44" s="514"/>
      <c r="C44" s="525"/>
      <c r="F44" s="521" t="s">
        <v>505</v>
      </c>
      <c r="I44" s="539"/>
      <c r="J44" s="517"/>
      <c r="K44" s="518"/>
      <c r="L44" s="518"/>
      <c r="M44" s="518"/>
      <c r="N44" s="518"/>
      <c r="O44" s="518"/>
      <c r="P44" s="518"/>
      <c r="Q44" s="518"/>
      <c r="R44" s="518"/>
      <c r="S44" s="518"/>
      <c r="T44" s="518"/>
      <c r="U44" s="518"/>
      <c r="V44" s="518"/>
      <c r="W44" s="518"/>
      <c r="X44" s="518"/>
      <c r="Y44" s="518"/>
      <c r="Z44" s="518"/>
      <c r="AA44" s="518"/>
      <c r="AB44" s="518"/>
      <c r="AC44" s="518"/>
      <c r="AD44" s="518"/>
      <c r="AE44" s="518"/>
    </row>
    <row r="45" spans="1:31" s="516" customFormat="1" outlineLevel="1">
      <c r="A45" s="514"/>
      <c r="B45" s="514"/>
      <c r="C45" s="526" t="s">
        <v>520</v>
      </c>
      <c r="D45" s="182" t="s">
        <v>514</v>
      </c>
      <c r="F45" s="522" cm="1">
        <f t="array" ref="F45">+INDEX(Scenarios!D24:G24,0,MATCH(Scenarios!D15,Scenarios!$D$30:$G$30,0))</f>
        <v>0</v>
      </c>
      <c r="I45" s="539"/>
      <c r="J45" s="517"/>
      <c r="K45" s="518"/>
      <c r="L45" s="518"/>
      <c r="M45" s="518"/>
      <c r="N45" s="518"/>
      <c r="O45" s="518"/>
      <c r="P45" s="518"/>
      <c r="Q45" s="518"/>
      <c r="R45" s="518"/>
      <c r="S45" s="518"/>
      <c r="T45" s="518"/>
      <c r="U45" s="518"/>
      <c r="V45" s="518"/>
      <c r="W45" s="518"/>
      <c r="X45" s="518"/>
      <c r="Y45" s="518"/>
      <c r="Z45" s="518"/>
      <c r="AA45" s="518"/>
      <c r="AB45" s="518"/>
      <c r="AC45" s="518"/>
      <c r="AD45" s="518"/>
      <c r="AE45" s="518"/>
    </row>
    <row r="46" spans="1:31" s="516" customFormat="1" outlineLevel="1">
      <c r="A46" s="514"/>
      <c r="B46" s="514"/>
      <c r="C46" s="525"/>
      <c r="I46" s="539"/>
      <c r="J46" s="517"/>
      <c r="K46" s="518"/>
      <c r="L46" s="518"/>
      <c r="M46" s="518"/>
      <c r="N46" s="518"/>
      <c r="O46" s="518"/>
      <c r="P46" s="518"/>
      <c r="Q46" s="518"/>
      <c r="R46" s="518"/>
      <c r="S46" s="518"/>
      <c r="T46" s="518"/>
      <c r="U46" s="518"/>
      <c r="V46" s="518"/>
      <c r="W46" s="518"/>
      <c r="X46" s="518"/>
      <c r="Y46" s="518"/>
      <c r="Z46" s="518"/>
      <c r="AA46" s="518"/>
      <c r="AB46" s="518"/>
      <c r="AC46" s="518"/>
      <c r="AD46" s="518"/>
      <c r="AE46" s="518"/>
    </row>
    <row r="47" spans="1:31" s="516" customFormat="1" outlineLevel="1">
      <c r="A47" s="514"/>
      <c r="B47" s="514"/>
      <c r="C47" s="525"/>
      <c r="F47" s="521" t="s">
        <v>503</v>
      </c>
      <c r="G47" s="521" t="s">
        <v>504</v>
      </c>
      <c r="I47" s="539"/>
      <c r="J47" s="517"/>
      <c r="K47" s="518"/>
      <c r="L47" s="518"/>
      <c r="M47" s="518"/>
      <c r="N47" s="518"/>
      <c r="O47" s="518"/>
      <c r="P47" s="518"/>
      <c r="Q47" s="518"/>
      <c r="R47" s="518"/>
      <c r="S47" s="518"/>
      <c r="T47" s="518"/>
      <c r="U47" s="518"/>
      <c r="V47" s="518"/>
      <c r="W47" s="518"/>
      <c r="X47" s="518"/>
      <c r="Y47" s="518"/>
      <c r="Z47" s="518"/>
      <c r="AA47" s="518"/>
      <c r="AB47" s="518"/>
      <c r="AC47" s="518"/>
      <c r="AD47" s="518"/>
      <c r="AE47" s="518"/>
    </row>
    <row r="48" spans="1:31" s="516" customFormat="1" outlineLevel="1">
      <c r="A48" s="514"/>
      <c r="B48" s="514"/>
      <c r="C48" s="538" t="s">
        <v>501</v>
      </c>
      <c r="D48" s="208" t="s">
        <v>67</v>
      </c>
      <c r="E48" s="519"/>
      <c r="F48" s="528" cm="1">
        <f t="array" ref="F48">+INDEX(Scenarios!D34:G34,0,MATCH(Scenarios!D15,Scenarios!D30:G30,0))</f>
        <v>0</v>
      </c>
      <c r="G48" s="529">
        <v>5</v>
      </c>
      <c r="H48" s="519"/>
      <c r="I48" s="519"/>
      <c r="J48" s="530">
        <f t="shared" ref="J48:S48" si="6">+$F$16*$G48*$F48*$F$45</f>
        <v>0</v>
      </c>
      <c r="K48" s="531">
        <f t="shared" si="6"/>
        <v>0</v>
      </c>
      <c r="L48" s="531">
        <f t="shared" si="6"/>
        <v>0</v>
      </c>
      <c r="M48" s="531">
        <f t="shared" si="6"/>
        <v>0</v>
      </c>
      <c r="N48" s="531">
        <f t="shared" si="6"/>
        <v>0</v>
      </c>
      <c r="O48" s="531">
        <f t="shared" si="6"/>
        <v>0</v>
      </c>
      <c r="P48" s="531">
        <f t="shared" si="6"/>
        <v>0</v>
      </c>
      <c r="Q48" s="531">
        <f t="shared" si="6"/>
        <v>0</v>
      </c>
      <c r="R48" s="531">
        <f t="shared" si="6"/>
        <v>0</v>
      </c>
      <c r="S48" s="531">
        <f t="shared" si="6"/>
        <v>0</v>
      </c>
    </row>
    <row r="49" spans="1:20" s="516" customFormat="1" outlineLevel="1">
      <c r="A49" s="514"/>
      <c r="B49" s="514"/>
      <c r="C49" s="532" t="s">
        <v>512</v>
      </c>
      <c r="D49" s="211" t="s">
        <v>67</v>
      </c>
      <c r="G49" s="533"/>
      <c r="I49" s="534">
        <f>+SUM(J49:S49)</f>
        <v>0</v>
      </c>
      <c r="J49" s="418">
        <f t="shared" ref="J49:S49" si="7">SUM(J48:J48)</f>
        <v>0</v>
      </c>
      <c r="K49" s="418">
        <f t="shared" si="7"/>
        <v>0</v>
      </c>
      <c r="L49" s="418">
        <f t="shared" si="7"/>
        <v>0</v>
      </c>
      <c r="M49" s="418">
        <f t="shared" si="7"/>
        <v>0</v>
      </c>
      <c r="N49" s="418">
        <f t="shared" si="7"/>
        <v>0</v>
      </c>
      <c r="O49" s="418">
        <f t="shared" si="7"/>
        <v>0</v>
      </c>
      <c r="P49" s="418">
        <f t="shared" si="7"/>
        <v>0</v>
      </c>
      <c r="Q49" s="418">
        <f t="shared" si="7"/>
        <v>0</v>
      </c>
      <c r="R49" s="418">
        <f t="shared" si="7"/>
        <v>0</v>
      </c>
      <c r="S49" s="418">
        <f t="shared" si="7"/>
        <v>0</v>
      </c>
    </row>
    <row r="50" spans="1:20" s="516" customFormat="1" outlineLevel="1">
      <c r="A50" s="514"/>
      <c r="B50" s="514"/>
      <c r="C50" s="535"/>
      <c r="J50" s="517"/>
    </row>
    <row r="51" spans="1:20" s="516" customFormat="1" outlineLevel="1">
      <c r="A51" s="514"/>
      <c r="B51" s="523" t="s">
        <v>502</v>
      </c>
      <c r="J51" s="517"/>
    </row>
    <row r="52" spans="1:20" s="516" customFormat="1" outlineLevel="1">
      <c r="A52" s="514"/>
      <c r="B52" s="514"/>
      <c r="C52" s="525"/>
      <c r="F52" s="521" t="s">
        <v>505</v>
      </c>
      <c r="J52" s="517"/>
    </row>
    <row r="53" spans="1:20" s="516" customFormat="1" outlineLevel="1">
      <c r="A53" s="514"/>
      <c r="B53" s="514"/>
      <c r="C53" s="540" t="s">
        <v>521</v>
      </c>
      <c r="D53" s="182" t="s">
        <v>514</v>
      </c>
      <c r="F53" s="541" cm="1">
        <f t="array" ref="F53">+INDEX(Scenarios!D25:G25,0,MATCH(Scenarios!D15,Scenarios!$D$19:$G$19,0))</f>
        <v>1</v>
      </c>
      <c r="J53" s="517"/>
    </row>
    <row r="54" spans="1:20" s="516" customFormat="1" outlineLevel="1">
      <c r="A54" s="514"/>
      <c r="B54" s="514"/>
      <c r="C54" s="540" t="str">
        <f>+Scenarios!B41</f>
        <v xml:space="preserve"># Additional Aquisitions </v>
      </c>
      <c r="D54" s="182" t="s">
        <v>461</v>
      </c>
      <c r="F54" s="542">
        <f>+Scenarios!G41</f>
        <v>0</v>
      </c>
      <c r="J54" s="517"/>
      <c r="K54" s="543"/>
      <c r="L54" s="544">
        <f t="shared" ref="L54:S54" si="8">$F$54*$F$53*$F$16</f>
        <v>0</v>
      </c>
      <c r="M54" s="544">
        <f t="shared" si="8"/>
        <v>0</v>
      </c>
      <c r="N54" s="544">
        <f t="shared" si="8"/>
        <v>0</v>
      </c>
      <c r="O54" s="544">
        <f t="shared" si="8"/>
        <v>0</v>
      </c>
      <c r="P54" s="544">
        <f t="shared" si="8"/>
        <v>0</v>
      </c>
      <c r="Q54" s="544">
        <f t="shared" si="8"/>
        <v>0</v>
      </c>
      <c r="R54" s="544">
        <f t="shared" si="8"/>
        <v>0</v>
      </c>
      <c r="S54" s="544">
        <f t="shared" si="8"/>
        <v>0</v>
      </c>
    </row>
    <row r="55" spans="1:20" s="516" customFormat="1" outlineLevel="1">
      <c r="A55" s="514"/>
      <c r="B55" s="514"/>
      <c r="C55" s="538" t="s">
        <v>507</v>
      </c>
      <c r="D55" s="208" t="s">
        <v>461</v>
      </c>
      <c r="E55" s="519"/>
      <c r="F55" s="545" cm="1">
        <f t="array" ref="F55">+INDEX(Scenarios!D40:G40,0,MATCH(Scenarios!D3,Scenarios!D39:G39,0))</f>
        <v>16</v>
      </c>
      <c r="G55" s="519"/>
      <c r="H55" s="519"/>
      <c r="I55" s="519"/>
      <c r="J55" s="546">
        <v>0</v>
      </c>
      <c r="K55" s="547">
        <f>$F$55*$F$53*$F$16</f>
        <v>16</v>
      </c>
      <c r="L55" s="547">
        <f>+L54+K55</f>
        <v>16</v>
      </c>
      <c r="M55" s="547">
        <f t="shared" ref="M55:S55" si="9">+M54+L55</f>
        <v>16</v>
      </c>
      <c r="N55" s="547">
        <f t="shared" si="9"/>
        <v>16</v>
      </c>
      <c r="O55" s="547">
        <f t="shared" si="9"/>
        <v>16</v>
      </c>
      <c r="P55" s="547">
        <f t="shared" si="9"/>
        <v>16</v>
      </c>
      <c r="Q55" s="547">
        <f t="shared" si="9"/>
        <v>16</v>
      </c>
      <c r="R55" s="547">
        <f t="shared" si="9"/>
        <v>16</v>
      </c>
      <c r="S55" s="547">
        <f t="shared" si="9"/>
        <v>16</v>
      </c>
    </row>
    <row r="56" spans="1:20" s="376" customFormat="1" outlineLevel="1">
      <c r="A56" s="417"/>
      <c r="B56" s="417"/>
      <c r="C56" s="532" t="s">
        <v>522</v>
      </c>
      <c r="D56" s="182" t="s">
        <v>461</v>
      </c>
      <c r="J56" s="548">
        <f>+I56+J55</f>
        <v>0</v>
      </c>
      <c r="K56" s="418">
        <f t="shared" ref="K56:S56" si="10">+J56+K55</f>
        <v>16</v>
      </c>
      <c r="L56" s="418">
        <f t="shared" si="10"/>
        <v>32</v>
      </c>
      <c r="M56" s="418">
        <f t="shared" si="10"/>
        <v>48</v>
      </c>
      <c r="N56" s="418">
        <f t="shared" si="10"/>
        <v>64</v>
      </c>
      <c r="O56" s="418">
        <f t="shared" si="10"/>
        <v>80</v>
      </c>
      <c r="P56" s="418">
        <f t="shared" si="10"/>
        <v>96</v>
      </c>
      <c r="Q56" s="418">
        <f t="shared" si="10"/>
        <v>112</v>
      </c>
      <c r="R56" s="418">
        <f t="shared" si="10"/>
        <v>128</v>
      </c>
      <c r="S56" s="418">
        <f t="shared" si="10"/>
        <v>144</v>
      </c>
    </row>
    <row r="57" spans="1:20" s="516" customFormat="1" outlineLevel="1">
      <c r="A57" s="514"/>
      <c r="B57" s="514"/>
      <c r="C57" s="540"/>
      <c r="D57" s="182"/>
      <c r="F57" s="537" t="s">
        <v>528</v>
      </c>
      <c r="J57" s="517"/>
    </row>
    <row r="58" spans="1:20" s="376" customFormat="1" outlineLevel="1">
      <c r="A58" s="417"/>
      <c r="B58" s="417"/>
      <c r="C58" s="549" t="s">
        <v>79</v>
      </c>
      <c r="D58" s="211" t="s">
        <v>67</v>
      </c>
      <c r="F58" s="550" cm="1">
        <f t="array" ref="F58">+INDEX(Scenarios!D44:G44,0,MATCH(Scenarios!D3,Scenarios!D39:G39,0))</f>
        <v>0.81326320174282651</v>
      </c>
      <c r="J58" s="551">
        <f t="shared" ref="J58:S58" si="11">-$F$16*$F58*$F$53*J55</f>
        <v>0</v>
      </c>
      <c r="K58" s="418">
        <f t="shared" si="11"/>
        <v>-13.012211227885224</v>
      </c>
      <c r="L58" s="418">
        <f t="shared" si="11"/>
        <v>-13.012211227885224</v>
      </c>
      <c r="M58" s="418">
        <f t="shared" si="11"/>
        <v>-13.012211227885224</v>
      </c>
      <c r="N58" s="418">
        <f t="shared" si="11"/>
        <v>-13.012211227885224</v>
      </c>
      <c r="O58" s="418">
        <f t="shared" si="11"/>
        <v>-13.012211227885224</v>
      </c>
      <c r="P58" s="418">
        <f t="shared" si="11"/>
        <v>-13.012211227885224</v>
      </c>
      <c r="Q58" s="418">
        <f t="shared" si="11"/>
        <v>-13.012211227885224</v>
      </c>
      <c r="R58" s="418">
        <f t="shared" si="11"/>
        <v>-13.012211227885224</v>
      </c>
      <c r="S58" s="418">
        <f t="shared" si="11"/>
        <v>-13.012211227885224</v>
      </c>
    </row>
    <row r="59" spans="1:20" s="376" customFormat="1" outlineLevel="1">
      <c r="A59" s="417"/>
      <c r="B59" s="417"/>
      <c r="C59" s="549"/>
      <c r="D59" s="211"/>
      <c r="J59" s="551"/>
      <c r="K59" s="418"/>
      <c r="L59" s="418"/>
      <c r="M59" s="418"/>
      <c r="N59" s="418"/>
      <c r="O59" s="418"/>
      <c r="P59" s="418"/>
      <c r="Q59" s="418"/>
      <c r="R59" s="418"/>
      <c r="S59" s="418"/>
    </row>
    <row r="60" spans="1:20" s="516" customFormat="1" outlineLevel="1">
      <c r="A60" s="514"/>
      <c r="B60" s="514"/>
      <c r="C60" s="540"/>
      <c r="D60" s="182"/>
      <c r="F60" s="537" t="s">
        <v>528</v>
      </c>
      <c r="J60" s="517"/>
    </row>
    <row r="61" spans="1:20" s="516" customFormat="1" outlineLevel="1">
      <c r="A61" s="514"/>
      <c r="B61" s="514"/>
      <c r="C61" s="540" t="s">
        <v>523</v>
      </c>
      <c r="D61" s="182" t="s">
        <v>67</v>
      </c>
      <c r="E61" s="376"/>
      <c r="F61" s="545" cm="1">
        <f t="array" ref="F61">+INDEX(Scenarios!D45:G45,0,MATCH(Scenarios!D3,Scenarios!D39:G39,0))</f>
        <v>2</v>
      </c>
      <c r="H61" s="376"/>
      <c r="J61" s="552">
        <f t="shared" ref="J61:S63" si="12">$F61*$F$53*J$56</f>
        <v>0</v>
      </c>
      <c r="K61" s="543">
        <f t="shared" si="12"/>
        <v>32</v>
      </c>
      <c r="L61" s="543">
        <f t="shared" si="12"/>
        <v>64</v>
      </c>
      <c r="M61" s="543">
        <f t="shared" si="12"/>
        <v>96</v>
      </c>
      <c r="N61" s="543">
        <f t="shared" si="12"/>
        <v>128</v>
      </c>
      <c r="O61" s="543">
        <f t="shared" si="12"/>
        <v>160</v>
      </c>
      <c r="P61" s="543">
        <f t="shared" si="12"/>
        <v>192</v>
      </c>
      <c r="Q61" s="543">
        <f t="shared" si="12"/>
        <v>224</v>
      </c>
      <c r="R61" s="543">
        <f t="shared" si="12"/>
        <v>256</v>
      </c>
      <c r="S61" s="543">
        <f t="shared" si="12"/>
        <v>288</v>
      </c>
      <c r="T61" s="518"/>
    </row>
    <row r="62" spans="1:20" s="516" customFormat="1" outlineLevel="1">
      <c r="A62" s="514"/>
      <c r="B62" s="514"/>
      <c r="C62" s="540" t="s">
        <v>524</v>
      </c>
      <c r="D62" s="182" t="s">
        <v>67</v>
      </c>
      <c r="E62" s="518"/>
      <c r="F62" s="545" cm="1">
        <f t="array" ref="F62">+INDEX(Scenarios!D46:G46,0,MATCH(Scenarios!D3,Scenarios!D39:G39,0))</f>
        <v>-0.71978194235919246</v>
      </c>
      <c r="H62" s="518"/>
      <c r="J62" s="552">
        <f t="shared" si="12"/>
        <v>0</v>
      </c>
      <c r="K62" s="543">
        <f t="shared" si="12"/>
        <v>-11.516511077747079</v>
      </c>
      <c r="L62" s="543">
        <f t="shared" si="12"/>
        <v>-23.033022155494159</v>
      </c>
      <c r="M62" s="543">
        <f t="shared" si="12"/>
        <v>-34.549533233241235</v>
      </c>
      <c r="N62" s="543">
        <f t="shared" si="12"/>
        <v>-46.066044310988318</v>
      </c>
      <c r="O62" s="543">
        <f t="shared" si="12"/>
        <v>-57.5825553887354</v>
      </c>
      <c r="P62" s="543">
        <f t="shared" si="12"/>
        <v>-69.099066466482469</v>
      </c>
      <c r="Q62" s="543">
        <f t="shared" si="12"/>
        <v>-80.615577544229552</v>
      </c>
      <c r="R62" s="543">
        <f t="shared" si="12"/>
        <v>-92.132088621976635</v>
      </c>
      <c r="S62" s="543">
        <f t="shared" si="12"/>
        <v>-103.64859969972372</v>
      </c>
    </row>
    <row r="63" spans="1:20" outlineLevel="1">
      <c r="C63" s="495" t="s">
        <v>525</v>
      </c>
      <c r="D63" s="208" t="s">
        <v>67</v>
      </c>
      <c r="E63" s="292"/>
      <c r="F63" s="553" cm="1">
        <f t="array" ref="F63">+INDEX(Scenarios!D47:G47,0,MATCH(Scenarios!D3,Scenarios!D39:G39,0))</f>
        <v>-1.105</v>
      </c>
      <c r="G63" s="554"/>
      <c r="H63" s="292"/>
      <c r="I63" s="292"/>
      <c r="J63" s="530">
        <f t="shared" si="12"/>
        <v>0</v>
      </c>
      <c r="K63" s="531">
        <f t="shared" si="12"/>
        <v>-17.68</v>
      </c>
      <c r="L63" s="531">
        <f t="shared" si="12"/>
        <v>-35.36</v>
      </c>
      <c r="M63" s="531">
        <f t="shared" si="12"/>
        <v>-53.04</v>
      </c>
      <c r="N63" s="531">
        <f t="shared" si="12"/>
        <v>-70.72</v>
      </c>
      <c r="O63" s="531">
        <f t="shared" si="12"/>
        <v>-88.4</v>
      </c>
      <c r="P63" s="531">
        <f t="shared" si="12"/>
        <v>-106.08</v>
      </c>
      <c r="Q63" s="531">
        <f t="shared" si="12"/>
        <v>-123.75999999999999</v>
      </c>
      <c r="R63" s="531">
        <f t="shared" si="12"/>
        <v>-141.44</v>
      </c>
      <c r="S63" s="531">
        <f t="shared" si="12"/>
        <v>-159.12</v>
      </c>
    </row>
    <row r="64" spans="1:20" s="213" customFormat="1" outlineLevel="1">
      <c r="C64" s="498" t="s">
        <v>526</v>
      </c>
      <c r="D64" s="211" t="s">
        <v>67</v>
      </c>
      <c r="F64" s="555"/>
      <c r="J64" s="556">
        <f>+SUM(J61:J63)</f>
        <v>0</v>
      </c>
      <c r="K64" s="219">
        <f t="shared" ref="K64:S64" si="13">+SUM(K61:K63)</f>
        <v>2.8034889222529209</v>
      </c>
      <c r="L64" s="219">
        <f t="shared" si="13"/>
        <v>5.6069778445058418</v>
      </c>
      <c r="M64" s="219">
        <f t="shared" si="13"/>
        <v>8.4104667667587663</v>
      </c>
      <c r="N64" s="219">
        <f t="shared" si="13"/>
        <v>11.213955689011684</v>
      </c>
      <c r="O64" s="219">
        <f t="shared" si="13"/>
        <v>14.017444611264594</v>
      </c>
      <c r="P64" s="219">
        <f t="shared" si="13"/>
        <v>16.820933533517533</v>
      </c>
      <c r="Q64" s="219">
        <f t="shared" si="13"/>
        <v>19.624422455770457</v>
      </c>
      <c r="R64" s="219">
        <f t="shared" si="13"/>
        <v>22.427911378023367</v>
      </c>
      <c r="S64" s="219">
        <f t="shared" si="13"/>
        <v>25.231400300276277</v>
      </c>
    </row>
    <row r="65" spans="1:31" s="213" customFormat="1" outlineLevel="1">
      <c r="C65" s="557"/>
      <c r="D65" s="211"/>
      <c r="F65" s="555"/>
      <c r="J65" s="556"/>
      <c r="K65" s="219"/>
      <c r="L65" s="219"/>
      <c r="M65" s="219"/>
      <c r="N65" s="219"/>
      <c r="O65" s="219"/>
      <c r="P65" s="219"/>
      <c r="Q65" s="219"/>
      <c r="R65" s="219"/>
      <c r="S65" s="219"/>
    </row>
    <row r="66" spans="1:31" outlineLevel="1">
      <c r="C66" s="500" t="s">
        <v>527</v>
      </c>
      <c r="D66" s="182" t="s">
        <v>14</v>
      </c>
      <c r="F66" s="243">
        <f>+AVERAGE(J66:S66)</f>
        <v>7.8848125938363406E-2</v>
      </c>
      <c r="J66" s="558">
        <f>IFERROR(+J64/J61,0)</f>
        <v>0</v>
      </c>
      <c r="K66" s="243">
        <f t="shared" ref="K66:S66" si="14">IFERROR(+K64/K61,0)</f>
        <v>8.7609028820403778E-2</v>
      </c>
      <c r="L66" s="243">
        <f t="shared" si="14"/>
        <v>8.7609028820403778E-2</v>
      </c>
      <c r="M66" s="243">
        <f t="shared" si="14"/>
        <v>8.760902882040382E-2</v>
      </c>
      <c r="N66" s="243">
        <f t="shared" si="14"/>
        <v>8.7609028820403778E-2</v>
      </c>
      <c r="O66" s="243">
        <f t="shared" si="14"/>
        <v>8.7609028820403709E-2</v>
      </c>
      <c r="P66" s="243">
        <f t="shared" si="14"/>
        <v>8.760902882040382E-2</v>
      </c>
      <c r="Q66" s="243">
        <f t="shared" si="14"/>
        <v>8.760902882040382E-2</v>
      </c>
      <c r="R66" s="243">
        <f t="shared" si="14"/>
        <v>8.7609028820403778E-2</v>
      </c>
      <c r="S66" s="243">
        <f t="shared" si="14"/>
        <v>8.7609028820403737E-2</v>
      </c>
    </row>
    <row r="67" spans="1:31">
      <c r="G67" s="516"/>
      <c r="H67" s="516"/>
      <c r="I67" s="516"/>
      <c r="J67" s="552"/>
      <c r="K67" s="543"/>
      <c r="L67" s="543"/>
      <c r="M67" s="543"/>
      <c r="N67" s="543"/>
      <c r="O67" s="543"/>
      <c r="P67" s="543"/>
      <c r="Q67" s="543"/>
      <c r="R67" s="543"/>
      <c r="S67" s="543"/>
    </row>
    <row r="68" spans="1:31" s="516" customFormat="1">
      <c r="A68" s="177" t="s">
        <v>10</v>
      </c>
      <c r="B68" s="178" t="s">
        <v>63</v>
      </c>
      <c r="C68" s="519"/>
      <c r="D68" s="178"/>
      <c r="E68" s="178"/>
      <c r="F68" s="178"/>
      <c r="G68" s="178"/>
      <c r="H68" s="178"/>
      <c r="I68" s="178"/>
      <c r="J68" s="520"/>
      <c r="K68" s="178"/>
      <c r="L68" s="178"/>
      <c r="M68" s="178"/>
      <c r="N68" s="178"/>
      <c r="O68" s="178"/>
      <c r="P68" s="178"/>
      <c r="Q68" s="178"/>
      <c r="R68" s="178"/>
      <c r="S68" s="178"/>
      <c r="T68" s="518"/>
      <c r="U68" s="518"/>
      <c r="V68" s="518"/>
      <c r="W68" s="518"/>
      <c r="X68" s="518"/>
      <c r="Y68" s="518"/>
      <c r="Z68" s="518"/>
      <c r="AA68" s="518"/>
      <c r="AB68" s="518"/>
      <c r="AC68" s="518"/>
      <c r="AD68" s="518"/>
      <c r="AE68" s="518"/>
    </row>
    <row r="69" spans="1:31" outlineLevel="1">
      <c r="G69" s="516"/>
      <c r="H69" s="516"/>
      <c r="I69" s="516"/>
      <c r="J69" s="552"/>
      <c r="K69" s="543"/>
      <c r="L69" s="543"/>
      <c r="M69" s="543"/>
      <c r="N69" s="543"/>
      <c r="O69" s="543"/>
      <c r="P69" s="543"/>
      <c r="Q69" s="543"/>
      <c r="R69" s="543"/>
      <c r="S69" s="543"/>
    </row>
    <row r="70" spans="1:31" outlineLevel="1">
      <c r="C70" s="184" t="s">
        <v>519</v>
      </c>
      <c r="D70" s="182" t="s">
        <v>67</v>
      </c>
      <c r="G70" s="516"/>
      <c r="H70" s="516"/>
      <c r="I70" s="516"/>
      <c r="J70" s="552">
        <f t="shared" ref="J70:S70" si="15">+J49</f>
        <v>0</v>
      </c>
      <c r="K70" s="543">
        <f t="shared" si="15"/>
        <v>0</v>
      </c>
      <c r="L70" s="543">
        <f t="shared" si="15"/>
        <v>0</v>
      </c>
      <c r="M70" s="543">
        <f t="shared" si="15"/>
        <v>0</v>
      </c>
      <c r="N70" s="543">
        <f t="shared" si="15"/>
        <v>0</v>
      </c>
      <c r="O70" s="543">
        <f t="shared" si="15"/>
        <v>0</v>
      </c>
      <c r="P70" s="543">
        <f t="shared" si="15"/>
        <v>0</v>
      </c>
      <c r="Q70" s="543">
        <f t="shared" si="15"/>
        <v>0</v>
      </c>
      <c r="R70" s="543">
        <f t="shared" si="15"/>
        <v>0</v>
      </c>
      <c r="S70" s="543">
        <f t="shared" si="15"/>
        <v>0</v>
      </c>
      <c r="T70" s="518"/>
    </row>
    <row r="71" spans="1:31" outlineLevel="1">
      <c r="C71" s="216" t="str">
        <f>+C82</f>
        <v>5) Inorganic Acquisitions</v>
      </c>
      <c r="D71" s="208" t="s">
        <v>67</v>
      </c>
      <c r="E71" s="292"/>
      <c r="F71" s="292"/>
      <c r="G71" s="519"/>
      <c r="H71" s="519"/>
      <c r="I71" s="519"/>
      <c r="J71" s="530">
        <f t="shared" ref="J71:S71" si="16">+J61</f>
        <v>0</v>
      </c>
      <c r="K71" s="531">
        <f t="shared" si="16"/>
        <v>32</v>
      </c>
      <c r="L71" s="531">
        <f t="shared" si="16"/>
        <v>64</v>
      </c>
      <c r="M71" s="531">
        <f t="shared" si="16"/>
        <v>96</v>
      </c>
      <c r="N71" s="531">
        <f t="shared" si="16"/>
        <v>128</v>
      </c>
      <c r="O71" s="531">
        <f t="shared" si="16"/>
        <v>160</v>
      </c>
      <c r="P71" s="531">
        <f t="shared" si="16"/>
        <v>192</v>
      </c>
      <c r="Q71" s="531">
        <f t="shared" si="16"/>
        <v>224</v>
      </c>
      <c r="R71" s="531">
        <f t="shared" si="16"/>
        <v>256</v>
      </c>
      <c r="S71" s="531">
        <f t="shared" si="16"/>
        <v>288</v>
      </c>
      <c r="T71" s="518"/>
    </row>
    <row r="72" spans="1:31" s="213" customFormat="1" outlineLevel="1">
      <c r="C72" s="213" t="str">
        <f>+B68</f>
        <v>Revenue</v>
      </c>
      <c r="D72" s="211" t="s">
        <v>67</v>
      </c>
      <c r="G72" s="376"/>
      <c r="H72" s="376"/>
      <c r="I72" s="534">
        <f>+SUM(J72:S72)</f>
        <v>1440</v>
      </c>
      <c r="J72" s="551">
        <f>+SUM(J70:J71)</f>
        <v>0</v>
      </c>
      <c r="K72" s="418">
        <f t="shared" ref="K72:S72" si="17">+SUM(K70:K71)</f>
        <v>32</v>
      </c>
      <c r="L72" s="418">
        <f t="shared" si="17"/>
        <v>64</v>
      </c>
      <c r="M72" s="418">
        <f t="shared" si="17"/>
        <v>96</v>
      </c>
      <c r="N72" s="418">
        <f t="shared" si="17"/>
        <v>128</v>
      </c>
      <c r="O72" s="418">
        <f t="shared" si="17"/>
        <v>160</v>
      </c>
      <c r="P72" s="418">
        <f t="shared" si="17"/>
        <v>192</v>
      </c>
      <c r="Q72" s="418">
        <f t="shared" si="17"/>
        <v>224</v>
      </c>
      <c r="R72" s="418">
        <f t="shared" si="17"/>
        <v>256</v>
      </c>
      <c r="S72" s="418">
        <f t="shared" si="17"/>
        <v>288</v>
      </c>
      <c r="T72" s="518"/>
    </row>
    <row r="73" spans="1:31">
      <c r="G73" s="516"/>
      <c r="H73" s="516"/>
      <c r="I73" s="516"/>
      <c r="J73" s="552"/>
      <c r="K73" s="543"/>
      <c r="L73" s="543"/>
      <c r="M73" s="543"/>
      <c r="N73" s="543"/>
      <c r="O73" s="543"/>
      <c r="P73" s="543"/>
      <c r="Q73" s="543"/>
      <c r="R73" s="543"/>
      <c r="S73" s="543"/>
    </row>
    <row r="74" spans="1:31" s="516" customFormat="1">
      <c r="A74" s="177" t="s">
        <v>10</v>
      </c>
      <c r="B74" s="178" t="s">
        <v>538</v>
      </c>
      <c r="C74" s="519"/>
      <c r="D74" s="178"/>
      <c r="E74" s="178"/>
      <c r="F74" s="178"/>
      <c r="G74" s="178"/>
      <c r="H74" s="178"/>
      <c r="I74" s="178"/>
      <c r="J74" s="520"/>
      <c r="K74" s="178"/>
      <c r="L74" s="178"/>
      <c r="M74" s="178"/>
      <c r="N74" s="178"/>
      <c r="O74" s="178"/>
      <c r="P74" s="178"/>
      <c r="Q74" s="178"/>
      <c r="R74" s="178"/>
      <c r="S74" s="178"/>
      <c r="T74" s="518"/>
      <c r="U74" s="518"/>
      <c r="V74" s="518"/>
      <c r="W74" s="518"/>
      <c r="X74" s="518"/>
      <c r="Y74" s="518"/>
      <c r="Z74" s="518"/>
      <c r="AA74" s="518"/>
      <c r="AB74" s="518"/>
      <c r="AC74" s="518"/>
      <c r="AD74" s="518"/>
      <c r="AE74" s="518"/>
    </row>
    <row r="75" spans="1:31" outlineLevel="1">
      <c r="C75" s="184" t="s">
        <v>508</v>
      </c>
      <c r="D75" s="182" t="s">
        <v>67</v>
      </c>
      <c r="G75" s="516"/>
      <c r="H75" s="516"/>
      <c r="I75" s="516"/>
      <c r="J75" s="552">
        <f t="shared" ref="J75:S75" si="18">+J24</f>
        <v>0</v>
      </c>
      <c r="K75" s="543">
        <f t="shared" si="18"/>
        <v>0</v>
      </c>
      <c r="L75" s="543">
        <f t="shared" si="18"/>
        <v>0</v>
      </c>
      <c r="M75" s="543">
        <f t="shared" si="18"/>
        <v>0</v>
      </c>
      <c r="N75" s="543">
        <f t="shared" si="18"/>
        <v>0</v>
      </c>
      <c r="O75" s="543">
        <f t="shared" si="18"/>
        <v>0</v>
      </c>
      <c r="P75" s="543">
        <f t="shared" si="18"/>
        <v>0</v>
      </c>
      <c r="Q75" s="543">
        <f t="shared" si="18"/>
        <v>0</v>
      </c>
      <c r="R75" s="543">
        <f t="shared" si="18"/>
        <v>0</v>
      </c>
      <c r="S75" s="543">
        <f t="shared" si="18"/>
        <v>0</v>
      </c>
    </row>
    <row r="76" spans="1:31" outlineLevel="1">
      <c r="C76" s="184" t="s">
        <v>515</v>
      </c>
      <c r="D76" s="182" t="s">
        <v>67</v>
      </c>
      <c r="G76" s="516"/>
      <c r="H76" s="516"/>
      <c r="I76" s="516"/>
      <c r="J76" s="552">
        <f t="shared" ref="J76:S76" si="19">+J32</f>
        <v>0</v>
      </c>
      <c r="K76" s="543">
        <f t="shared" si="19"/>
        <v>0</v>
      </c>
      <c r="L76" s="543">
        <f t="shared" si="19"/>
        <v>0</v>
      </c>
      <c r="M76" s="543">
        <f t="shared" si="19"/>
        <v>0</v>
      </c>
      <c r="N76" s="543">
        <f t="shared" si="19"/>
        <v>0</v>
      </c>
      <c r="O76" s="543">
        <f t="shared" si="19"/>
        <v>0</v>
      </c>
      <c r="P76" s="543">
        <f t="shared" si="19"/>
        <v>0</v>
      </c>
      <c r="Q76" s="543">
        <f t="shared" si="19"/>
        <v>0</v>
      </c>
      <c r="R76" s="543">
        <f t="shared" si="19"/>
        <v>0</v>
      </c>
      <c r="S76" s="543">
        <f t="shared" si="19"/>
        <v>0</v>
      </c>
    </row>
    <row r="77" spans="1:31" outlineLevel="1">
      <c r="C77" s="216" t="str">
        <f>+B51</f>
        <v>5) Inorganic Acquisitions</v>
      </c>
      <c r="D77" s="208" t="s">
        <v>67</v>
      </c>
      <c r="E77" s="292"/>
      <c r="F77" s="292"/>
      <c r="G77" s="519"/>
      <c r="H77" s="519"/>
      <c r="I77" s="519"/>
      <c r="J77" s="530">
        <f>+J62</f>
        <v>0</v>
      </c>
      <c r="K77" s="531">
        <f t="shared" ref="K77:S77" si="20">+K62</f>
        <v>-11.516511077747079</v>
      </c>
      <c r="L77" s="531">
        <f t="shared" si="20"/>
        <v>-23.033022155494159</v>
      </c>
      <c r="M77" s="531">
        <f t="shared" si="20"/>
        <v>-34.549533233241235</v>
      </c>
      <c r="N77" s="531">
        <f t="shared" si="20"/>
        <v>-46.066044310988318</v>
      </c>
      <c r="O77" s="531">
        <f t="shared" si="20"/>
        <v>-57.5825553887354</v>
      </c>
      <c r="P77" s="531">
        <f t="shared" si="20"/>
        <v>-69.099066466482469</v>
      </c>
      <c r="Q77" s="531">
        <f t="shared" si="20"/>
        <v>-80.615577544229552</v>
      </c>
      <c r="R77" s="531">
        <f t="shared" si="20"/>
        <v>-92.132088621976635</v>
      </c>
      <c r="S77" s="531">
        <f t="shared" si="20"/>
        <v>-103.64859969972372</v>
      </c>
    </row>
    <row r="78" spans="1:31" s="213" customFormat="1" outlineLevel="1">
      <c r="C78" s="213" t="str">
        <f>+B74</f>
        <v>Cost</v>
      </c>
      <c r="D78" s="211" t="s">
        <v>67</v>
      </c>
      <c r="G78" s="376"/>
      <c r="H78" s="376"/>
      <c r="I78" s="534">
        <f>+SUM(J78:S78)</f>
        <v>-518.24299849861859</v>
      </c>
      <c r="J78" s="551">
        <f>+SUM(J75:J77)</f>
        <v>0</v>
      </c>
      <c r="K78" s="418">
        <f t="shared" ref="K78:S78" si="21">+SUM(K75:K77)</f>
        <v>-11.516511077747079</v>
      </c>
      <c r="L78" s="418">
        <f t="shared" si="21"/>
        <v>-23.033022155494159</v>
      </c>
      <c r="M78" s="418">
        <f t="shared" si="21"/>
        <v>-34.549533233241235</v>
      </c>
      <c r="N78" s="418">
        <f t="shared" si="21"/>
        <v>-46.066044310988318</v>
      </c>
      <c r="O78" s="418">
        <f t="shared" si="21"/>
        <v>-57.5825553887354</v>
      </c>
      <c r="P78" s="418">
        <f t="shared" si="21"/>
        <v>-69.099066466482469</v>
      </c>
      <c r="Q78" s="418">
        <f t="shared" si="21"/>
        <v>-80.615577544229552</v>
      </c>
      <c r="R78" s="418">
        <f t="shared" si="21"/>
        <v>-92.132088621976635</v>
      </c>
      <c r="S78" s="418">
        <f t="shared" si="21"/>
        <v>-103.64859969972372</v>
      </c>
    </row>
    <row r="79" spans="1:31">
      <c r="G79" s="516"/>
      <c r="H79" s="516"/>
      <c r="I79" s="516"/>
      <c r="J79" s="552"/>
      <c r="K79" s="543"/>
      <c r="L79" s="543"/>
      <c r="M79" s="543"/>
      <c r="N79" s="543"/>
      <c r="O79" s="543"/>
      <c r="P79" s="543"/>
      <c r="Q79" s="543"/>
      <c r="R79" s="543"/>
      <c r="S79" s="543"/>
    </row>
    <row r="80" spans="1:31" s="516" customFormat="1">
      <c r="A80" s="177" t="s">
        <v>10</v>
      </c>
      <c r="B80" s="178" t="s">
        <v>32</v>
      </c>
      <c r="C80" s="519"/>
      <c r="D80" s="178"/>
      <c r="E80" s="178"/>
      <c r="F80" s="178"/>
      <c r="G80" s="178"/>
      <c r="H80" s="178"/>
      <c r="I80" s="178"/>
      <c r="J80" s="520"/>
      <c r="K80" s="178"/>
      <c r="L80" s="178"/>
      <c r="M80" s="178"/>
      <c r="N80" s="178"/>
      <c r="O80" s="178"/>
      <c r="P80" s="178"/>
      <c r="Q80" s="178"/>
      <c r="R80" s="178"/>
      <c r="S80" s="178"/>
      <c r="T80" s="518"/>
      <c r="U80" s="518"/>
      <c r="V80" s="518"/>
      <c r="W80" s="518"/>
      <c r="X80" s="518"/>
      <c r="Y80" s="518"/>
      <c r="Z80" s="518"/>
      <c r="AA80" s="518"/>
      <c r="AB80" s="518"/>
      <c r="AC80" s="518"/>
      <c r="AD80" s="518"/>
      <c r="AE80" s="518"/>
    </row>
    <row r="81" spans="1:31" outlineLevel="1">
      <c r="C81" s="184" t="s">
        <v>517</v>
      </c>
      <c r="D81" s="182" t="s">
        <v>67</v>
      </c>
      <c r="G81" s="516"/>
      <c r="H81" s="516"/>
      <c r="I81" s="516"/>
      <c r="J81" s="382">
        <f t="shared" ref="J81:S81" si="22">+J41</f>
        <v>0</v>
      </c>
      <c r="K81" s="543">
        <f t="shared" si="22"/>
        <v>0</v>
      </c>
      <c r="L81" s="543">
        <f t="shared" si="22"/>
        <v>0</v>
      </c>
      <c r="M81" s="543">
        <f t="shared" si="22"/>
        <v>0</v>
      </c>
      <c r="N81" s="543">
        <f t="shared" si="22"/>
        <v>0</v>
      </c>
      <c r="O81" s="543">
        <f t="shared" si="22"/>
        <v>0</v>
      </c>
      <c r="P81" s="543">
        <f t="shared" si="22"/>
        <v>0</v>
      </c>
      <c r="Q81" s="543">
        <f t="shared" si="22"/>
        <v>0</v>
      </c>
      <c r="R81" s="543">
        <f t="shared" si="22"/>
        <v>0</v>
      </c>
      <c r="S81" s="543">
        <f t="shared" si="22"/>
        <v>0</v>
      </c>
    </row>
    <row r="82" spans="1:31" outlineLevel="1">
      <c r="C82" s="216" t="str">
        <f>+C77</f>
        <v>5) Inorganic Acquisitions</v>
      </c>
      <c r="D82" s="208" t="s">
        <v>67</v>
      </c>
      <c r="E82" s="292"/>
      <c r="F82" s="292"/>
      <c r="G82" s="519"/>
      <c r="H82" s="519"/>
      <c r="I82" s="519"/>
      <c r="J82" s="530">
        <f>+J63</f>
        <v>0</v>
      </c>
      <c r="K82" s="531">
        <f t="shared" ref="K82:S82" si="23">+K63</f>
        <v>-17.68</v>
      </c>
      <c r="L82" s="531">
        <f t="shared" si="23"/>
        <v>-35.36</v>
      </c>
      <c r="M82" s="531">
        <f t="shared" si="23"/>
        <v>-53.04</v>
      </c>
      <c r="N82" s="531">
        <f t="shared" si="23"/>
        <v>-70.72</v>
      </c>
      <c r="O82" s="531">
        <f t="shared" si="23"/>
        <v>-88.4</v>
      </c>
      <c r="P82" s="531">
        <f t="shared" si="23"/>
        <v>-106.08</v>
      </c>
      <c r="Q82" s="531">
        <f t="shared" si="23"/>
        <v>-123.75999999999999</v>
      </c>
      <c r="R82" s="531">
        <f t="shared" si="23"/>
        <v>-141.44</v>
      </c>
      <c r="S82" s="531">
        <f t="shared" si="23"/>
        <v>-159.12</v>
      </c>
    </row>
    <row r="83" spans="1:31" s="213" customFormat="1" outlineLevel="1">
      <c r="C83" s="213" t="str">
        <f>+B80</f>
        <v>SG&amp;A</v>
      </c>
      <c r="D83" s="211" t="s">
        <v>67</v>
      </c>
      <c r="G83" s="376"/>
      <c r="H83" s="376"/>
      <c r="I83" s="534">
        <f>+SUM(J83:S83)</f>
        <v>-795.6</v>
      </c>
      <c r="J83" s="551">
        <f>+SUM(J81:J82)</f>
        <v>0</v>
      </c>
      <c r="K83" s="418">
        <f t="shared" ref="K83:S83" si="24">+SUM(K81:K82)</f>
        <v>-17.68</v>
      </c>
      <c r="L83" s="418">
        <f t="shared" si="24"/>
        <v>-35.36</v>
      </c>
      <c r="M83" s="418">
        <f t="shared" si="24"/>
        <v>-53.04</v>
      </c>
      <c r="N83" s="418">
        <f t="shared" si="24"/>
        <v>-70.72</v>
      </c>
      <c r="O83" s="418">
        <f t="shared" si="24"/>
        <v>-88.4</v>
      </c>
      <c r="P83" s="418">
        <f t="shared" si="24"/>
        <v>-106.08</v>
      </c>
      <c r="Q83" s="418">
        <f t="shared" si="24"/>
        <v>-123.75999999999999</v>
      </c>
      <c r="R83" s="418">
        <f t="shared" si="24"/>
        <v>-141.44</v>
      </c>
      <c r="S83" s="418">
        <f t="shared" si="24"/>
        <v>-159.12</v>
      </c>
    </row>
    <row r="84" spans="1:31">
      <c r="G84" s="516"/>
      <c r="H84" s="516"/>
      <c r="I84" s="516"/>
      <c r="J84" s="552"/>
      <c r="K84" s="543"/>
      <c r="L84" s="543"/>
      <c r="M84" s="543"/>
      <c r="N84" s="543"/>
      <c r="O84" s="543"/>
      <c r="P84" s="543"/>
      <c r="Q84" s="543"/>
      <c r="R84" s="543"/>
      <c r="S84" s="543"/>
    </row>
    <row r="85" spans="1:31" s="516" customFormat="1">
      <c r="A85" s="177" t="s">
        <v>10</v>
      </c>
      <c r="B85" s="178" t="s">
        <v>79</v>
      </c>
      <c r="C85" s="519"/>
      <c r="D85" s="178"/>
      <c r="E85" s="178"/>
      <c r="F85" s="178"/>
      <c r="G85" s="178"/>
      <c r="H85" s="178"/>
      <c r="I85" s="178"/>
      <c r="J85" s="520"/>
      <c r="K85" s="178"/>
      <c r="L85" s="178"/>
      <c r="M85" s="178"/>
      <c r="N85" s="178"/>
      <c r="O85" s="178"/>
      <c r="P85" s="178"/>
      <c r="Q85" s="178"/>
      <c r="R85" s="178"/>
      <c r="S85" s="178"/>
      <c r="T85" s="518"/>
      <c r="U85" s="518"/>
      <c r="V85" s="518"/>
      <c r="W85" s="518"/>
      <c r="X85" s="518"/>
      <c r="Y85" s="518"/>
      <c r="Z85" s="518"/>
      <c r="AA85" s="518"/>
      <c r="AB85" s="518"/>
      <c r="AC85" s="518"/>
      <c r="AD85" s="518"/>
      <c r="AE85" s="518"/>
    </row>
    <row r="86" spans="1:31" s="516" customFormat="1" outlineLevel="1">
      <c r="A86" s="180"/>
      <c r="B86" s="204"/>
      <c r="C86" s="559" t="str">
        <f>+C82</f>
        <v>5) Inorganic Acquisitions</v>
      </c>
      <c r="D86" s="208" t="s">
        <v>67</v>
      </c>
      <c r="E86" s="560"/>
      <c r="F86" s="560"/>
      <c r="G86" s="560"/>
      <c r="H86" s="560"/>
      <c r="I86" s="560"/>
      <c r="J86" s="561">
        <f>+J58</f>
        <v>0</v>
      </c>
      <c r="K86" s="504">
        <f t="shared" ref="K86:S86" si="25">+K58</f>
        <v>-13.012211227885224</v>
      </c>
      <c r="L86" s="504">
        <f t="shared" si="25"/>
        <v>-13.012211227885224</v>
      </c>
      <c r="M86" s="504">
        <f t="shared" si="25"/>
        <v>-13.012211227885224</v>
      </c>
      <c r="N86" s="504">
        <f t="shared" si="25"/>
        <v>-13.012211227885224</v>
      </c>
      <c r="O86" s="504">
        <f t="shared" si="25"/>
        <v>-13.012211227885224</v>
      </c>
      <c r="P86" s="504">
        <f t="shared" si="25"/>
        <v>-13.012211227885224</v>
      </c>
      <c r="Q86" s="504">
        <f t="shared" si="25"/>
        <v>-13.012211227885224</v>
      </c>
      <c r="R86" s="504">
        <f t="shared" si="25"/>
        <v>-13.012211227885224</v>
      </c>
      <c r="S86" s="504">
        <f t="shared" si="25"/>
        <v>-13.012211227885224</v>
      </c>
      <c r="T86" s="518"/>
      <c r="U86" s="518"/>
      <c r="V86" s="518"/>
      <c r="W86" s="518"/>
      <c r="X86" s="518"/>
      <c r="Y86" s="518"/>
      <c r="Z86" s="518"/>
      <c r="AA86" s="518"/>
      <c r="AB86" s="518"/>
      <c r="AC86" s="518"/>
      <c r="AD86" s="518"/>
      <c r="AE86" s="518"/>
    </row>
    <row r="87" spans="1:31" s="213" customFormat="1" outlineLevel="1">
      <c r="C87" s="213" t="str">
        <f>+B85</f>
        <v>Capex</v>
      </c>
      <c r="D87" s="211" t="s">
        <v>67</v>
      </c>
      <c r="G87" s="376"/>
      <c r="H87" s="376"/>
      <c r="I87" s="534">
        <f>+SUM(J87:S87)</f>
        <v>-117.10990105096698</v>
      </c>
      <c r="J87" s="551">
        <f>+J86</f>
        <v>0</v>
      </c>
      <c r="K87" s="418">
        <f t="shared" ref="K87:S87" si="26">+K86</f>
        <v>-13.012211227885224</v>
      </c>
      <c r="L87" s="418">
        <f t="shared" si="26"/>
        <v>-13.012211227885224</v>
      </c>
      <c r="M87" s="418">
        <f t="shared" si="26"/>
        <v>-13.012211227885224</v>
      </c>
      <c r="N87" s="418">
        <f t="shared" si="26"/>
        <v>-13.012211227885224</v>
      </c>
      <c r="O87" s="418">
        <f t="shared" si="26"/>
        <v>-13.012211227885224</v>
      </c>
      <c r="P87" s="418">
        <f t="shared" si="26"/>
        <v>-13.012211227885224</v>
      </c>
      <c r="Q87" s="418">
        <f t="shared" si="26"/>
        <v>-13.012211227885224</v>
      </c>
      <c r="R87" s="418">
        <f t="shared" si="26"/>
        <v>-13.012211227885224</v>
      </c>
      <c r="S87" s="418">
        <f t="shared" si="26"/>
        <v>-13.012211227885224</v>
      </c>
    </row>
    <row r="88" spans="1:31">
      <c r="G88" s="516"/>
      <c r="H88" s="516"/>
      <c r="I88" s="516"/>
      <c r="J88" s="552"/>
      <c r="K88" s="543"/>
      <c r="L88" s="543"/>
      <c r="M88" s="543"/>
      <c r="N88" s="543"/>
      <c r="O88" s="543"/>
      <c r="P88" s="543"/>
      <c r="Q88" s="543"/>
      <c r="R88" s="543"/>
      <c r="S88" s="543"/>
    </row>
    <row r="89" spans="1:31" s="516" customFormat="1">
      <c r="A89" s="177" t="s">
        <v>10</v>
      </c>
      <c r="B89" s="178" t="s">
        <v>531</v>
      </c>
      <c r="C89" s="519"/>
      <c r="D89" s="178"/>
      <c r="E89" s="178"/>
      <c r="F89" s="178"/>
      <c r="G89" s="178"/>
      <c r="H89" s="178"/>
      <c r="I89" s="178"/>
      <c r="J89" s="520"/>
      <c r="K89" s="178"/>
      <c r="L89" s="178"/>
      <c r="M89" s="178"/>
      <c r="N89" s="178"/>
      <c r="O89" s="178"/>
      <c r="P89" s="178"/>
      <c r="Q89" s="178"/>
      <c r="R89" s="178"/>
      <c r="S89" s="178"/>
      <c r="T89" s="518"/>
      <c r="U89" s="518"/>
      <c r="V89" s="518"/>
      <c r="W89" s="518"/>
      <c r="X89" s="518"/>
      <c r="Y89" s="518"/>
      <c r="Z89" s="518"/>
      <c r="AA89" s="518"/>
      <c r="AB89" s="518"/>
      <c r="AC89" s="518"/>
      <c r="AD89" s="518"/>
      <c r="AE89" s="518"/>
    </row>
    <row r="90" spans="1:31" outlineLevel="1">
      <c r="C90" s="184" t="s">
        <v>63</v>
      </c>
      <c r="D90" s="182" t="s">
        <v>67</v>
      </c>
      <c r="J90" s="382">
        <f>+J126-J110</f>
        <v>47.307545875699994</v>
      </c>
      <c r="K90" s="220">
        <f t="shared" ref="K90:S90" si="27">+K126-K110</f>
        <v>48.726772251970999</v>
      </c>
      <c r="L90" s="220">
        <f t="shared" si="27"/>
        <v>50.188575419530125</v>
      </c>
      <c r="M90" s="220">
        <f t="shared" si="27"/>
        <v>51.694232682116024</v>
      </c>
      <c r="N90" s="220">
        <f t="shared" si="27"/>
        <v>53.245059662579507</v>
      </c>
      <c r="O90" s="220">
        <f t="shared" si="27"/>
        <v>54.842411452456901</v>
      </c>
      <c r="P90" s="220">
        <f t="shared" si="27"/>
        <v>56.487683796030609</v>
      </c>
      <c r="Q90" s="220">
        <f t="shared" si="27"/>
        <v>58.182314309911533</v>
      </c>
      <c r="R90" s="220">
        <f t="shared" si="27"/>
        <v>59.927783739208849</v>
      </c>
      <c r="S90" s="220">
        <f t="shared" si="27"/>
        <v>61.725617251385131</v>
      </c>
      <c r="T90" s="518"/>
    </row>
    <row r="91" spans="1:31" outlineLevel="1">
      <c r="C91" s="216" t="s">
        <v>31</v>
      </c>
      <c r="D91" s="208" t="s">
        <v>67</v>
      </c>
      <c r="E91" s="292"/>
      <c r="F91" s="292"/>
      <c r="G91" s="292"/>
      <c r="H91" s="292"/>
      <c r="I91" s="292"/>
      <c r="J91" s="561">
        <f t="shared" ref="J91:S91" si="28">+J127-J111</f>
        <v>-17.025558629328973</v>
      </c>
      <c r="K91" s="504">
        <f t="shared" si="28"/>
        <v>-17.536325388208841</v>
      </c>
      <c r="L91" s="504">
        <f t="shared" si="28"/>
        <v>-18.062415149855106</v>
      </c>
      <c r="M91" s="504">
        <f t="shared" si="28"/>
        <v>-18.604287604350759</v>
      </c>
      <c r="N91" s="504">
        <f t="shared" si="28"/>
        <v>-19.162416232481277</v>
      </c>
      <c r="O91" s="504">
        <f t="shared" si="28"/>
        <v>-19.737288719455719</v>
      </c>
      <c r="P91" s="504">
        <f t="shared" si="28"/>
        <v>-20.329407381039402</v>
      </c>
      <c r="Q91" s="504">
        <f t="shared" si="28"/>
        <v>-20.939289602470581</v>
      </c>
      <c r="R91" s="504">
        <f t="shared" si="28"/>
        <v>-21.567468290544696</v>
      </c>
      <c r="S91" s="504">
        <f t="shared" si="28"/>
        <v>-22.214492339261028</v>
      </c>
      <c r="T91" s="518"/>
    </row>
    <row r="92" spans="1:31" outlineLevel="1">
      <c r="C92" s="213" t="s">
        <v>64</v>
      </c>
      <c r="D92" s="211" t="s">
        <v>67</v>
      </c>
      <c r="E92" s="213"/>
      <c r="F92" s="213"/>
      <c r="G92" s="213"/>
      <c r="H92" s="213"/>
      <c r="I92" s="562">
        <f>+SUM(J92:S92)</f>
        <v>347.14904710389328</v>
      </c>
      <c r="J92" s="556">
        <f t="shared" ref="J92:S92" si="29">+J128-J112</f>
        <v>30.28198724637102</v>
      </c>
      <c r="K92" s="219">
        <f t="shared" si="29"/>
        <v>31.190446863762158</v>
      </c>
      <c r="L92" s="219">
        <f t="shared" si="29"/>
        <v>32.126160269675019</v>
      </c>
      <c r="M92" s="219">
        <f t="shared" si="29"/>
        <v>33.089945077765265</v>
      </c>
      <c r="N92" s="219">
        <f t="shared" si="29"/>
        <v>34.08264343009823</v>
      </c>
      <c r="O92" s="219">
        <f t="shared" si="29"/>
        <v>35.105122733001181</v>
      </c>
      <c r="P92" s="219">
        <f t="shared" si="29"/>
        <v>36.158276414991207</v>
      </c>
      <c r="Q92" s="219">
        <f t="shared" si="29"/>
        <v>37.243024707440952</v>
      </c>
      <c r="R92" s="219">
        <f t="shared" si="29"/>
        <v>38.360315448664153</v>
      </c>
      <c r="S92" s="219">
        <f t="shared" si="29"/>
        <v>39.511124912124103</v>
      </c>
      <c r="T92" s="518"/>
    </row>
    <row r="93" spans="1:31" outlineLevel="1">
      <c r="C93" s="216" t="s">
        <v>32</v>
      </c>
      <c r="D93" s="208" t="s">
        <v>67</v>
      </c>
      <c r="E93" s="292"/>
      <c r="F93" s="292"/>
      <c r="G93" s="292"/>
      <c r="H93" s="292"/>
      <c r="I93" s="292"/>
      <c r="J93" s="561">
        <f t="shared" ref="J93:S93" si="30">+J129-J113</f>
        <v>-26.807581416400001</v>
      </c>
      <c r="K93" s="504">
        <f t="shared" si="30"/>
        <v>-26.870035026826002</v>
      </c>
      <c r="L93" s="504">
        <f t="shared" si="30"/>
        <v>-27.661136077630786</v>
      </c>
      <c r="M93" s="504">
        <f t="shared" si="30"/>
        <v>-28.475970159959708</v>
      </c>
      <c r="N93" s="504">
        <f t="shared" si="30"/>
        <v>-29.315249264758506</v>
      </c>
      <c r="O93" s="504">
        <f t="shared" si="30"/>
        <v>-30.179706742701256</v>
      </c>
      <c r="P93" s="504">
        <f t="shared" si="30"/>
        <v>-31.070097944982294</v>
      </c>
      <c r="Q93" s="504">
        <f t="shared" si="30"/>
        <v>-31.987200883331752</v>
      </c>
      <c r="R93" s="504">
        <f t="shared" si="30"/>
        <v>-32.931816909831724</v>
      </c>
      <c r="S93" s="504">
        <f t="shared" si="30"/>
        <v>-33.904771417126653</v>
      </c>
      <c r="T93" s="518"/>
    </row>
    <row r="94" spans="1:31" outlineLevel="1">
      <c r="C94" s="213" t="s">
        <v>33</v>
      </c>
      <c r="D94" s="182" t="s">
        <v>67</v>
      </c>
      <c r="E94" s="213"/>
      <c r="F94" s="213"/>
      <c r="G94" s="213"/>
      <c r="H94" s="213"/>
      <c r="I94" s="562">
        <f>+SUM(J94:S94)</f>
        <v>47.945481260344607</v>
      </c>
      <c r="J94" s="556">
        <f t="shared" ref="J94:S94" si="31">+J130-J114</f>
        <v>3.474405829971019</v>
      </c>
      <c r="K94" s="219">
        <f t="shared" si="31"/>
        <v>4.3204118369361559</v>
      </c>
      <c r="L94" s="219">
        <f t="shared" si="31"/>
        <v>4.4650241920442326</v>
      </c>
      <c r="M94" s="219">
        <f t="shared" si="31"/>
        <v>4.6139749178055567</v>
      </c>
      <c r="N94" s="219">
        <f t="shared" si="31"/>
        <v>4.7673941653397236</v>
      </c>
      <c r="O94" s="219">
        <f t="shared" si="31"/>
        <v>4.9254159902999248</v>
      </c>
      <c r="P94" s="219">
        <f t="shared" si="31"/>
        <v>5.0881784700089128</v>
      </c>
      <c r="Q94" s="219">
        <f t="shared" si="31"/>
        <v>5.2558238241091999</v>
      </c>
      <c r="R94" s="219">
        <f t="shared" si="31"/>
        <v>5.4284985388324287</v>
      </c>
      <c r="S94" s="219">
        <f t="shared" si="31"/>
        <v>5.6063534949974496</v>
      </c>
      <c r="T94" s="518"/>
    </row>
    <row r="95" spans="1:31" outlineLevel="1">
      <c r="C95" s="216" t="s">
        <v>34</v>
      </c>
      <c r="D95" s="208" t="s">
        <v>67</v>
      </c>
      <c r="E95" s="292"/>
      <c r="F95" s="292"/>
      <c r="G95" s="292"/>
      <c r="H95" s="292"/>
      <c r="I95" s="292"/>
      <c r="J95" s="561">
        <f t="shared" ref="J95:S95" si="32">+J131-J115</f>
        <v>-0.33486041600000005</v>
      </c>
      <c r="K95" s="504">
        <f t="shared" si="32"/>
        <v>-0.38216796187570007</v>
      </c>
      <c r="L95" s="504">
        <f t="shared" si="32"/>
        <v>-0.46289473412767101</v>
      </c>
      <c r="M95" s="504">
        <f t="shared" si="32"/>
        <v>-0.57708330954720122</v>
      </c>
      <c r="N95" s="504">
        <f t="shared" si="32"/>
        <v>-0.72477754222931723</v>
      </c>
      <c r="O95" s="504">
        <f t="shared" si="32"/>
        <v>-0.90602260189189676</v>
      </c>
      <c r="P95" s="504">
        <f t="shared" si="32"/>
        <v>-1.1208650133443538</v>
      </c>
      <c r="Q95" s="504">
        <f t="shared" si="32"/>
        <v>-1.3693526971403847</v>
      </c>
      <c r="R95" s="504">
        <f t="shared" si="32"/>
        <v>-1.6515350114502962</v>
      </c>
      <c r="S95" s="504">
        <f t="shared" si="32"/>
        <v>-1.9674627951895047</v>
      </c>
      <c r="T95" s="518"/>
    </row>
    <row r="96" spans="1:31" outlineLevel="1">
      <c r="C96" s="213" t="s">
        <v>35</v>
      </c>
      <c r="D96" s="182" t="s">
        <v>67</v>
      </c>
      <c r="E96" s="213"/>
      <c r="F96" s="213"/>
      <c r="G96" s="213"/>
      <c r="H96" s="213"/>
      <c r="I96" s="562">
        <f>+SUM(J96:S96)</f>
        <v>38.448459177548273</v>
      </c>
      <c r="J96" s="556">
        <f t="shared" ref="J96:S96" si="33">+J132-J116</f>
        <v>3.1395454139710188</v>
      </c>
      <c r="K96" s="219">
        <f t="shared" si="33"/>
        <v>3.938243875060456</v>
      </c>
      <c r="L96" s="219">
        <f t="shared" si="33"/>
        <v>4.0021294579165616</v>
      </c>
      <c r="M96" s="219">
        <f t="shared" si="33"/>
        <v>4.0368916082583546</v>
      </c>
      <c r="N96" s="219">
        <f t="shared" si="33"/>
        <v>4.0426166231104066</v>
      </c>
      <c r="O96" s="219">
        <f t="shared" si="33"/>
        <v>4.0193933884080266</v>
      </c>
      <c r="P96" s="219">
        <f t="shared" si="33"/>
        <v>3.9673134566645594</v>
      </c>
      <c r="Q96" s="219">
        <f t="shared" si="33"/>
        <v>3.8864711269688144</v>
      </c>
      <c r="R96" s="219">
        <f t="shared" si="33"/>
        <v>3.7769635273821329</v>
      </c>
      <c r="S96" s="219">
        <f t="shared" si="33"/>
        <v>3.6388906998079449</v>
      </c>
      <c r="T96" s="518"/>
    </row>
    <row r="97" spans="1:31" outlineLevel="1">
      <c r="C97" s="184" t="s">
        <v>719</v>
      </c>
      <c r="D97" s="182" t="s">
        <v>67</v>
      </c>
      <c r="J97" s="382">
        <f t="shared" ref="J97:S97" si="34">+J133-J117</f>
        <v>-2.1270951223257684</v>
      </c>
      <c r="K97" s="220">
        <f t="shared" si="34"/>
        <v>-4.2182726465714246</v>
      </c>
      <c r="L97" s="220">
        <f t="shared" si="34"/>
        <v>-4.1221601052571391</v>
      </c>
      <c r="M97" s="220">
        <f t="shared" si="34"/>
        <v>-4.0281833981942814</v>
      </c>
      <c r="N97" s="220">
        <f t="shared" si="34"/>
        <v>-4.0324550666971382</v>
      </c>
      <c r="O97" s="220">
        <f t="shared" si="34"/>
        <v>-4.0580850777142814</v>
      </c>
      <c r="P97" s="220">
        <f t="shared" si="34"/>
        <v>-4.0580850777142814</v>
      </c>
      <c r="Q97" s="220">
        <f t="shared" si="34"/>
        <v>-4.0580850777142814</v>
      </c>
      <c r="R97" s="220">
        <f t="shared" si="34"/>
        <v>-4.0580850777142814</v>
      </c>
      <c r="S97" s="220">
        <f t="shared" si="34"/>
        <v>-4.0580850777142814</v>
      </c>
      <c r="T97" s="518"/>
    </row>
    <row r="98" spans="1:31" outlineLevel="1">
      <c r="C98" s="184" t="s">
        <v>720</v>
      </c>
      <c r="D98" s="182" t="s">
        <v>67</v>
      </c>
      <c r="J98" s="382">
        <f t="shared" ref="J98:S98" si="35">+J134-J118</f>
        <v>-0.94075027542857081</v>
      </c>
      <c r="K98" s="220">
        <f t="shared" si="35"/>
        <v>0</v>
      </c>
      <c r="L98" s="220">
        <f t="shared" si="35"/>
        <v>0</v>
      </c>
      <c r="M98" s="220">
        <f t="shared" si="35"/>
        <v>0</v>
      </c>
      <c r="N98" s="220">
        <f t="shared" si="35"/>
        <v>0</v>
      </c>
      <c r="O98" s="220">
        <f t="shared" si="35"/>
        <v>0</v>
      </c>
      <c r="P98" s="220">
        <f t="shared" si="35"/>
        <v>0</v>
      </c>
      <c r="Q98" s="220">
        <f t="shared" si="35"/>
        <v>0</v>
      </c>
      <c r="R98" s="220">
        <f t="shared" si="35"/>
        <v>0</v>
      </c>
      <c r="S98" s="220">
        <f t="shared" si="35"/>
        <v>0</v>
      </c>
      <c r="T98" s="518"/>
    </row>
    <row r="99" spans="1:31" outlineLevel="1">
      <c r="C99" s="184" t="s">
        <v>193</v>
      </c>
      <c r="D99" s="182" t="s">
        <v>67</v>
      </c>
      <c r="J99" s="382">
        <f t="shared" ref="J99:S99" si="36">+J135-J119</f>
        <v>-1.8434512669714254</v>
      </c>
      <c r="K99" s="220">
        <f t="shared" si="36"/>
        <v>-1.8434512669714254</v>
      </c>
      <c r="L99" s="220">
        <f t="shared" si="36"/>
        <v>-1.8434512669714254</v>
      </c>
      <c r="M99" s="220">
        <f t="shared" si="36"/>
        <v>-2.1702073246302476</v>
      </c>
      <c r="N99" s="220">
        <f t="shared" si="36"/>
        <v>-2.4863893960562167</v>
      </c>
      <c r="O99" s="220">
        <f t="shared" si="36"/>
        <v>-2.6937225623809677</v>
      </c>
      <c r="P99" s="220">
        <f t="shared" si="36"/>
        <v>-2.7939945594166082</v>
      </c>
      <c r="Q99" s="220">
        <f t="shared" si="36"/>
        <v>-2.7939945594166082</v>
      </c>
      <c r="R99" s="220">
        <f t="shared" si="36"/>
        <v>-2.7939945594166082</v>
      </c>
      <c r="S99" s="220">
        <f t="shared" si="36"/>
        <v>-2.7939945594166082</v>
      </c>
      <c r="T99" s="518"/>
    </row>
    <row r="100" spans="1:31" outlineLevel="1">
      <c r="C100" s="216" t="s">
        <v>36</v>
      </c>
      <c r="D100" s="208" t="s">
        <v>67</v>
      </c>
      <c r="E100" s="292"/>
      <c r="F100" s="292"/>
      <c r="G100" s="292"/>
      <c r="H100" s="292"/>
      <c r="I100" s="292"/>
      <c r="J100" s="561">
        <f t="shared" ref="J100:S100" si="37">+J136-J120</f>
        <v>0</v>
      </c>
      <c r="K100" s="504">
        <f t="shared" si="37"/>
        <v>0</v>
      </c>
      <c r="L100" s="504">
        <f t="shared" si="37"/>
        <v>0</v>
      </c>
      <c r="M100" s="504">
        <f t="shared" si="37"/>
        <v>0</v>
      </c>
      <c r="N100" s="504">
        <f t="shared" si="37"/>
        <v>0</v>
      </c>
      <c r="O100" s="504">
        <f t="shared" si="37"/>
        <v>0</v>
      </c>
      <c r="P100" s="504">
        <f t="shared" si="37"/>
        <v>0</v>
      </c>
      <c r="Q100" s="504">
        <f t="shared" si="37"/>
        <v>0</v>
      </c>
      <c r="R100" s="504">
        <f t="shared" si="37"/>
        <v>0</v>
      </c>
      <c r="S100" s="504">
        <f t="shared" si="37"/>
        <v>0</v>
      </c>
      <c r="T100" s="518"/>
    </row>
    <row r="101" spans="1:31" outlineLevel="1">
      <c r="C101" s="213" t="s">
        <v>37</v>
      </c>
      <c r="D101" s="182" t="s">
        <v>67</v>
      </c>
      <c r="E101" s="213"/>
      <c r="F101" s="213"/>
      <c r="G101" s="213"/>
      <c r="H101" s="213"/>
      <c r="I101" s="213"/>
      <c r="J101" s="556">
        <f t="shared" ref="J101:S101" si="38">+J137-J121</f>
        <v>-1.7717512507547457</v>
      </c>
      <c r="K101" s="219">
        <f t="shared" si="38"/>
        <v>-2.123480038482394</v>
      </c>
      <c r="L101" s="219">
        <f t="shared" si="38"/>
        <v>-1.9634819143120028</v>
      </c>
      <c r="M101" s="219">
        <f t="shared" si="38"/>
        <v>-2.1614991145661744</v>
      </c>
      <c r="N101" s="219">
        <f t="shared" si="38"/>
        <v>-2.4762278396429469</v>
      </c>
      <c r="O101" s="219">
        <f t="shared" si="38"/>
        <v>-2.7324142516872225</v>
      </c>
      <c r="P101" s="219">
        <f t="shared" si="38"/>
        <v>-2.8847661804663307</v>
      </c>
      <c r="Q101" s="219">
        <f t="shared" si="38"/>
        <v>-2.9656085101620739</v>
      </c>
      <c r="R101" s="219">
        <f t="shared" si="38"/>
        <v>-3.0751161097487554</v>
      </c>
      <c r="S101" s="219">
        <f t="shared" si="38"/>
        <v>-3.2131889373229434</v>
      </c>
      <c r="T101" s="518"/>
    </row>
    <row r="102" spans="1:31" outlineLevel="1">
      <c r="C102" s="216" t="s">
        <v>38</v>
      </c>
      <c r="D102" s="208" t="s">
        <v>67</v>
      </c>
      <c r="E102" s="292"/>
      <c r="F102" s="292"/>
      <c r="G102" s="292"/>
      <c r="H102" s="292"/>
      <c r="I102" s="292"/>
      <c r="J102" s="561">
        <f t="shared" ref="J102:S102" si="39">+J138-J122</f>
        <v>0</v>
      </c>
      <c r="K102" s="504">
        <f t="shared" si="39"/>
        <v>0.55210481000542244</v>
      </c>
      <c r="L102" s="504">
        <f t="shared" si="39"/>
        <v>0.51050529772112085</v>
      </c>
      <c r="M102" s="504">
        <f t="shared" si="39"/>
        <v>0.56198976978720538</v>
      </c>
      <c r="N102" s="504">
        <f t="shared" si="39"/>
        <v>0.64381923830716659</v>
      </c>
      <c r="O102" s="504">
        <f t="shared" si="39"/>
        <v>0.71042770543867784</v>
      </c>
      <c r="P102" s="504">
        <f t="shared" si="39"/>
        <v>0.75003920692124604</v>
      </c>
      <c r="Q102" s="504">
        <f t="shared" si="39"/>
        <v>0.77105821264213947</v>
      </c>
      <c r="R102" s="504">
        <f t="shared" si="39"/>
        <v>0.79953018853467661</v>
      </c>
      <c r="S102" s="504">
        <f t="shared" si="39"/>
        <v>0.83542912370396483</v>
      </c>
      <c r="T102" s="518"/>
    </row>
    <row r="103" spans="1:31" outlineLevel="1">
      <c r="C103" s="213" t="s">
        <v>39</v>
      </c>
      <c r="D103" s="182" t="s">
        <v>67</v>
      </c>
      <c r="E103" s="213"/>
      <c r="F103" s="213"/>
      <c r="G103" s="213"/>
      <c r="H103" s="213"/>
      <c r="I103" s="562">
        <f>+SUM(J103:S103)</f>
        <v>-19.232630594083972</v>
      </c>
      <c r="J103" s="556">
        <f t="shared" ref="J103:S103" si="40">+J139-J123</f>
        <v>-1.7717512507547457</v>
      </c>
      <c r="K103" s="219">
        <f t="shared" si="40"/>
        <v>-1.5713752284769715</v>
      </c>
      <c r="L103" s="219">
        <f t="shared" si="40"/>
        <v>-1.452976616590882</v>
      </c>
      <c r="M103" s="219">
        <f t="shared" si="40"/>
        <v>-1.5995093447789692</v>
      </c>
      <c r="N103" s="219">
        <f t="shared" si="40"/>
        <v>-1.8324086013357803</v>
      </c>
      <c r="O103" s="219">
        <f t="shared" si="40"/>
        <v>-2.0219865462485451</v>
      </c>
      <c r="P103" s="219">
        <f t="shared" si="40"/>
        <v>-2.1347269735450851</v>
      </c>
      <c r="Q103" s="219">
        <f t="shared" si="40"/>
        <v>-2.1945502975199336</v>
      </c>
      <c r="R103" s="219">
        <f t="shared" si="40"/>
        <v>-2.2755859212140788</v>
      </c>
      <c r="S103" s="219">
        <f t="shared" si="40"/>
        <v>-2.3777598136189795</v>
      </c>
      <c r="T103" s="518"/>
    </row>
    <row r="104" spans="1:31" outlineLevel="1">
      <c r="G104" s="516"/>
      <c r="H104" s="516"/>
      <c r="I104" s="516"/>
      <c r="J104" s="552"/>
      <c r="K104" s="543"/>
      <c r="L104" s="543"/>
      <c r="M104" s="543"/>
      <c r="N104" s="543"/>
      <c r="O104" s="543"/>
      <c r="P104" s="543"/>
      <c r="Q104" s="543"/>
      <c r="R104" s="543"/>
      <c r="S104" s="543"/>
      <c r="T104" s="518"/>
    </row>
    <row r="105" spans="1:31" outlineLevel="1">
      <c r="C105" s="184" t="s">
        <v>62</v>
      </c>
      <c r="D105" s="182" t="s">
        <v>14</v>
      </c>
      <c r="I105" s="186">
        <f>I92/SUM(J90:S90)</f>
        <v>0.64010902882040377</v>
      </c>
      <c r="J105" s="558">
        <f t="shared" ref="J105:S105" si="41">+J92/J90</f>
        <v>0.64010902882040377</v>
      </c>
      <c r="K105" s="243">
        <f t="shared" si="41"/>
        <v>0.64010902882040388</v>
      </c>
      <c r="L105" s="243">
        <f t="shared" si="41"/>
        <v>0.64010902882040377</v>
      </c>
      <c r="M105" s="243">
        <f t="shared" si="41"/>
        <v>0.64010902882040377</v>
      </c>
      <c r="N105" s="243">
        <f t="shared" si="41"/>
        <v>0.64010902882040388</v>
      </c>
      <c r="O105" s="243">
        <f t="shared" si="41"/>
        <v>0.64010902882040388</v>
      </c>
      <c r="P105" s="243">
        <f t="shared" si="41"/>
        <v>0.64010902882040366</v>
      </c>
      <c r="Q105" s="243">
        <f t="shared" si="41"/>
        <v>0.64010902882040377</v>
      </c>
      <c r="R105" s="243">
        <f t="shared" si="41"/>
        <v>0.64010902882040366</v>
      </c>
      <c r="S105" s="243">
        <f t="shared" si="41"/>
        <v>0.64010902882040388</v>
      </c>
    </row>
    <row r="106" spans="1:31" outlineLevel="1">
      <c r="C106" s="184" t="s">
        <v>65</v>
      </c>
      <c r="D106" s="182" t="s">
        <v>14</v>
      </c>
      <c r="I106" s="186">
        <f>+I94/SUM(J90:S90)</f>
        <v>8.8406797316373395E-2</v>
      </c>
      <c r="J106" s="563">
        <f t="shared" ref="J106:S106" si="42">+J94/J90</f>
        <v>7.3442952189910218E-2</v>
      </c>
      <c r="K106" s="186">
        <f t="shared" si="42"/>
        <v>8.8666078980049717E-2</v>
      </c>
      <c r="L106" s="186">
        <f t="shared" si="42"/>
        <v>8.8964951778781429E-2</v>
      </c>
      <c r="M106" s="186">
        <f t="shared" si="42"/>
        <v>8.9255119544540476E-2</v>
      </c>
      <c r="N106" s="186">
        <f t="shared" si="42"/>
        <v>8.9536835821976482E-2</v>
      </c>
      <c r="O106" s="186">
        <f t="shared" si="42"/>
        <v>8.9810346770943641E-2</v>
      </c>
      <c r="P106" s="186">
        <f t="shared" si="42"/>
        <v>9.0075891381591028E-2</v>
      </c>
      <c r="Q106" s="186">
        <f t="shared" si="42"/>
        <v>9.0333701683190937E-2</v>
      </c>
      <c r="R106" s="186">
        <f t="shared" si="42"/>
        <v>9.0584002946879114E-2</v>
      </c>
      <c r="S106" s="186">
        <f t="shared" si="42"/>
        <v>9.0827013882500182E-2</v>
      </c>
    </row>
    <row r="107" spans="1:31" outlineLevel="1">
      <c r="C107" s="184" t="s">
        <v>66</v>
      </c>
      <c r="D107" s="182" t="s">
        <v>14</v>
      </c>
      <c r="I107" s="186">
        <f>+I103/SUM(J90:S90)</f>
        <v>-3.5463097461870027E-2</v>
      </c>
      <c r="J107" s="563">
        <f t="shared" ref="J107:S107" si="43">+J103/J90</f>
        <v>-3.7451768379826778E-2</v>
      </c>
      <c r="K107" s="186">
        <f t="shared" si="43"/>
        <v>-3.2248703450974213E-2</v>
      </c>
      <c r="L107" s="186">
        <f t="shared" si="43"/>
        <v>-2.8950345859497701E-2</v>
      </c>
      <c r="M107" s="186">
        <f t="shared" si="43"/>
        <v>-3.0941736859019683E-2</v>
      </c>
      <c r="N107" s="186">
        <f t="shared" si="43"/>
        <v>-3.4414621994002428E-2</v>
      </c>
      <c r="O107" s="186">
        <f t="shared" si="43"/>
        <v>-3.6869030604196044E-2</v>
      </c>
      <c r="P107" s="186">
        <f t="shared" si="43"/>
        <v>-3.7791016201926347E-2</v>
      </c>
      <c r="Q107" s="186">
        <f t="shared" si="43"/>
        <v>-3.7718511605271177E-2</v>
      </c>
      <c r="R107" s="186">
        <f t="shared" si="43"/>
        <v>-3.7972135447505877E-2</v>
      </c>
      <c r="S107" s="186">
        <f t="shared" si="43"/>
        <v>-3.8521442465860839E-2</v>
      </c>
    </row>
    <row r="108" spans="1:31">
      <c r="G108" s="516"/>
      <c r="H108" s="516"/>
      <c r="I108" s="516"/>
      <c r="J108" s="552"/>
      <c r="K108" s="543"/>
      <c r="L108" s="543"/>
      <c r="M108" s="543"/>
      <c r="N108" s="543"/>
      <c r="O108" s="543"/>
      <c r="P108" s="543"/>
      <c r="Q108" s="543"/>
      <c r="R108" s="543"/>
      <c r="S108" s="543"/>
      <c r="T108" s="518"/>
    </row>
    <row r="109" spans="1:31" s="516" customFormat="1">
      <c r="A109" s="177" t="s">
        <v>10</v>
      </c>
      <c r="B109" s="178" t="s">
        <v>529</v>
      </c>
      <c r="C109" s="519"/>
      <c r="D109" s="178"/>
      <c r="E109" s="178"/>
      <c r="F109" s="178"/>
      <c r="G109" s="178"/>
      <c r="H109" s="178"/>
      <c r="I109" s="178"/>
      <c r="J109" s="520"/>
      <c r="K109" s="178"/>
      <c r="L109" s="178"/>
      <c r="M109" s="178"/>
      <c r="N109" s="178"/>
      <c r="O109" s="178"/>
      <c r="P109" s="178"/>
      <c r="Q109" s="178"/>
      <c r="R109" s="178"/>
      <c r="S109" s="178"/>
      <c r="T109" s="518"/>
      <c r="U109" s="518"/>
      <c r="V109" s="518"/>
      <c r="W109" s="518"/>
      <c r="X109" s="518"/>
      <c r="Y109" s="518"/>
      <c r="Z109" s="518"/>
      <c r="AA109" s="518"/>
      <c r="AB109" s="518"/>
      <c r="AC109" s="518"/>
      <c r="AD109" s="518"/>
      <c r="AE109" s="518"/>
    </row>
    <row r="110" spans="1:31" outlineLevel="1">
      <c r="C110" s="184" t="str">
        <f>+Model!B174</f>
        <v>Revenue</v>
      </c>
      <c r="D110" s="182" t="s">
        <v>67</v>
      </c>
      <c r="J110" s="564">
        <f>+J72</f>
        <v>0</v>
      </c>
      <c r="K110" s="565">
        <f t="shared" ref="K110:S110" si="44">+K72</f>
        <v>32</v>
      </c>
      <c r="L110" s="565">
        <f t="shared" si="44"/>
        <v>64</v>
      </c>
      <c r="M110" s="565">
        <f t="shared" si="44"/>
        <v>96</v>
      </c>
      <c r="N110" s="565">
        <f t="shared" si="44"/>
        <v>128</v>
      </c>
      <c r="O110" s="565">
        <f t="shared" si="44"/>
        <v>160</v>
      </c>
      <c r="P110" s="565">
        <f t="shared" si="44"/>
        <v>192</v>
      </c>
      <c r="Q110" s="565">
        <f t="shared" si="44"/>
        <v>224</v>
      </c>
      <c r="R110" s="565">
        <f t="shared" si="44"/>
        <v>256</v>
      </c>
      <c r="S110" s="565">
        <f t="shared" si="44"/>
        <v>288</v>
      </c>
    </row>
    <row r="111" spans="1:31" outlineLevel="1">
      <c r="C111" s="216" t="str">
        <f>+Model!B175</f>
        <v>Costs</v>
      </c>
      <c r="D111" s="208" t="s">
        <v>67</v>
      </c>
      <c r="E111" s="292"/>
      <c r="F111" s="292"/>
      <c r="G111" s="292"/>
      <c r="H111" s="292"/>
      <c r="I111" s="292"/>
      <c r="J111" s="566">
        <f>+J78</f>
        <v>0</v>
      </c>
      <c r="K111" s="567">
        <f t="shared" ref="K111:S111" si="45">+K78</f>
        <v>-11.516511077747079</v>
      </c>
      <c r="L111" s="567">
        <f t="shared" si="45"/>
        <v>-23.033022155494159</v>
      </c>
      <c r="M111" s="567">
        <f t="shared" si="45"/>
        <v>-34.549533233241235</v>
      </c>
      <c r="N111" s="567">
        <f t="shared" si="45"/>
        <v>-46.066044310988318</v>
      </c>
      <c r="O111" s="567">
        <f t="shared" si="45"/>
        <v>-57.5825553887354</v>
      </c>
      <c r="P111" s="567">
        <f t="shared" si="45"/>
        <v>-69.099066466482469</v>
      </c>
      <c r="Q111" s="567">
        <f t="shared" si="45"/>
        <v>-80.615577544229552</v>
      </c>
      <c r="R111" s="567">
        <f t="shared" si="45"/>
        <v>-92.132088621976635</v>
      </c>
      <c r="S111" s="567">
        <f t="shared" si="45"/>
        <v>-103.64859969972372</v>
      </c>
    </row>
    <row r="112" spans="1:31" s="213" customFormat="1" outlineLevel="1">
      <c r="C112" s="213" t="str">
        <f>+Model!B176</f>
        <v>Gross Profit</v>
      </c>
      <c r="D112" s="211" t="s">
        <v>67</v>
      </c>
      <c r="I112" s="562">
        <f>+SUM(J112:S112)</f>
        <v>921.75700150138141</v>
      </c>
      <c r="J112" s="556">
        <f>+J110+J111</f>
        <v>0</v>
      </c>
      <c r="K112" s="219">
        <f t="shared" ref="K112:S112" si="46">+K110+K111</f>
        <v>20.483488922252921</v>
      </c>
      <c r="L112" s="219">
        <f t="shared" si="46"/>
        <v>40.966977844505841</v>
      </c>
      <c r="M112" s="219">
        <f t="shared" si="46"/>
        <v>61.450466766758765</v>
      </c>
      <c r="N112" s="219">
        <f t="shared" si="46"/>
        <v>81.933955689011682</v>
      </c>
      <c r="O112" s="219">
        <f t="shared" si="46"/>
        <v>102.4174446112646</v>
      </c>
      <c r="P112" s="219">
        <f t="shared" si="46"/>
        <v>122.90093353351753</v>
      </c>
      <c r="Q112" s="219">
        <f t="shared" si="46"/>
        <v>143.38442245577045</v>
      </c>
      <c r="R112" s="219">
        <f t="shared" si="46"/>
        <v>163.86791137802336</v>
      </c>
      <c r="S112" s="219">
        <f t="shared" si="46"/>
        <v>184.35140030027628</v>
      </c>
    </row>
    <row r="113" spans="1:31" outlineLevel="1">
      <c r="C113" s="216" t="str">
        <f>+Model!B177</f>
        <v>SG&amp;A</v>
      </c>
      <c r="D113" s="208" t="s">
        <v>67</v>
      </c>
      <c r="E113" s="292"/>
      <c r="F113" s="292"/>
      <c r="G113" s="292"/>
      <c r="H113" s="292"/>
      <c r="I113" s="292"/>
      <c r="J113" s="566">
        <f>+J83</f>
        <v>0</v>
      </c>
      <c r="K113" s="567">
        <f t="shared" ref="K113:S113" si="47">+K83</f>
        <v>-17.68</v>
      </c>
      <c r="L113" s="567">
        <f t="shared" si="47"/>
        <v>-35.36</v>
      </c>
      <c r="M113" s="567">
        <f t="shared" si="47"/>
        <v>-53.04</v>
      </c>
      <c r="N113" s="567">
        <f t="shared" si="47"/>
        <v>-70.72</v>
      </c>
      <c r="O113" s="567">
        <f t="shared" si="47"/>
        <v>-88.4</v>
      </c>
      <c r="P113" s="567">
        <f t="shared" si="47"/>
        <v>-106.08</v>
      </c>
      <c r="Q113" s="567">
        <f t="shared" si="47"/>
        <v>-123.75999999999999</v>
      </c>
      <c r="R113" s="567">
        <f t="shared" si="47"/>
        <v>-141.44</v>
      </c>
      <c r="S113" s="567">
        <f t="shared" si="47"/>
        <v>-159.12</v>
      </c>
    </row>
    <row r="114" spans="1:31" s="213" customFormat="1" outlineLevel="1">
      <c r="C114" s="213" t="str">
        <f>+Model!B178</f>
        <v>EBITDA</v>
      </c>
      <c r="D114" s="211" t="s">
        <v>67</v>
      </c>
      <c r="I114" s="562">
        <f>+SUM(J114:S114)</f>
        <v>126.15700150138144</v>
      </c>
      <c r="J114" s="556">
        <f>+SUM(J112:J113)</f>
        <v>0</v>
      </c>
      <c r="K114" s="219">
        <f t="shared" ref="K114:S114" si="48">+SUM(K112:K113)</f>
        <v>2.8034889222529209</v>
      </c>
      <c r="L114" s="219">
        <f t="shared" si="48"/>
        <v>5.6069778445058418</v>
      </c>
      <c r="M114" s="219">
        <f t="shared" si="48"/>
        <v>8.4104667667587663</v>
      </c>
      <c r="N114" s="219">
        <f t="shared" si="48"/>
        <v>11.213955689011684</v>
      </c>
      <c r="O114" s="219">
        <f t="shared" si="48"/>
        <v>14.017444611264594</v>
      </c>
      <c r="P114" s="219">
        <f t="shared" si="48"/>
        <v>16.820933533517533</v>
      </c>
      <c r="Q114" s="219">
        <f t="shared" si="48"/>
        <v>19.624422455770457</v>
      </c>
      <c r="R114" s="219">
        <f t="shared" si="48"/>
        <v>22.427911378023367</v>
      </c>
      <c r="S114" s="219">
        <f t="shared" si="48"/>
        <v>25.231400300276277</v>
      </c>
    </row>
    <row r="115" spans="1:31" outlineLevel="1">
      <c r="C115" s="216" t="str">
        <f>+Model!B179</f>
        <v>D&amp;A</v>
      </c>
      <c r="D115" s="208" t="s">
        <v>67</v>
      </c>
      <c r="E115" s="292"/>
      <c r="F115" s="292"/>
      <c r="G115" s="292"/>
      <c r="H115" s="292"/>
      <c r="I115" s="292"/>
      <c r="J115" s="568">
        <v>0</v>
      </c>
      <c r="K115" s="237">
        <v>0</v>
      </c>
      <c r="L115" s="237">
        <v>0</v>
      </c>
      <c r="M115" s="237">
        <v>0</v>
      </c>
      <c r="N115" s="237">
        <v>0</v>
      </c>
      <c r="O115" s="237">
        <v>0</v>
      </c>
      <c r="P115" s="237">
        <v>0</v>
      </c>
      <c r="Q115" s="237">
        <v>0</v>
      </c>
      <c r="R115" s="237">
        <v>0</v>
      </c>
      <c r="S115" s="237">
        <v>0</v>
      </c>
    </row>
    <row r="116" spans="1:31" s="213" customFormat="1" outlineLevel="1">
      <c r="C116" s="213" t="str">
        <f>+Model!B180</f>
        <v>EBIT</v>
      </c>
      <c r="D116" s="211" t="s">
        <v>67</v>
      </c>
      <c r="I116" s="562">
        <f>+SUM(J116:S116)</f>
        <v>126.15700150138144</v>
      </c>
      <c r="J116" s="556">
        <f>+SUM(J114:J115)</f>
        <v>0</v>
      </c>
      <c r="K116" s="219">
        <f t="shared" ref="K116:S116" si="49">+SUM(K114:K115)</f>
        <v>2.8034889222529209</v>
      </c>
      <c r="L116" s="219">
        <f t="shared" si="49"/>
        <v>5.6069778445058418</v>
      </c>
      <c r="M116" s="219">
        <f t="shared" si="49"/>
        <v>8.4104667667587663</v>
      </c>
      <c r="N116" s="219">
        <f t="shared" si="49"/>
        <v>11.213955689011684</v>
      </c>
      <c r="O116" s="219">
        <f t="shared" si="49"/>
        <v>14.017444611264594</v>
      </c>
      <c r="P116" s="219">
        <f t="shared" si="49"/>
        <v>16.820933533517533</v>
      </c>
      <c r="Q116" s="219">
        <f t="shared" si="49"/>
        <v>19.624422455770457</v>
      </c>
      <c r="R116" s="219">
        <f t="shared" si="49"/>
        <v>22.427911378023367</v>
      </c>
      <c r="S116" s="219">
        <f t="shared" si="49"/>
        <v>25.231400300276277</v>
      </c>
    </row>
    <row r="117" spans="1:31" outlineLevel="1">
      <c r="C117" s="184" t="str">
        <f>+Model!B181</f>
        <v>Interests Sr. Debt</v>
      </c>
      <c r="D117" s="182" t="s">
        <v>67</v>
      </c>
      <c r="J117" s="568">
        <v>0</v>
      </c>
      <c r="K117" s="237">
        <v>0</v>
      </c>
      <c r="L117" s="237">
        <v>0</v>
      </c>
      <c r="M117" s="237">
        <v>0</v>
      </c>
      <c r="N117" s="237">
        <v>0</v>
      </c>
      <c r="O117" s="237">
        <v>0</v>
      </c>
      <c r="P117" s="237">
        <v>0</v>
      </c>
      <c r="Q117" s="237">
        <v>0</v>
      </c>
      <c r="R117" s="237">
        <v>0</v>
      </c>
      <c r="S117" s="237">
        <v>0</v>
      </c>
    </row>
    <row r="118" spans="1:31" outlineLevel="1">
      <c r="C118" s="184" t="str">
        <f>+Model!B182</f>
        <v>Expenses Sr. Debt</v>
      </c>
      <c r="D118" s="182" t="s">
        <v>67</v>
      </c>
      <c r="J118" s="568">
        <v>0</v>
      </c>
      <c r="K118" s="237">
        <v>0</v>
      </c>
      <c r="L118" s="237">
        <v>0</v>
      </c>
      <c r="M118" s="237">
        <v>0</v>
      </c>
      <c r="N118" s="237">
        <v>0</v>
      </c>
      <c r="O118" s="237">
        <v>0</v>
      </c>
      <c r="P118" s="237">
        <v>0</v>
      </c>
      <c r="Q118" s="237">
        <v>0</v>
      </c>
      <c r="R118" s="237">
        <v>0</v>
      </c>
      <c r="S118" s="237">
        <v>0</v>
      </c>
    </row>
    <row r="119" spans="1:31" outlineLevel="1">
      <c r="C119" s="184" t="str">
        <f>+Model!B183</f>
        <v>Interest Subordinated Debt</v>
      </c>
      <c r="D119" s="182" t="s">
        <v>67</v>
      </c>
      <c r="J119" s="568">
        <v>0</v>
      </c>
      <c r="K119" s="237">
        <v>0</v>
      </c>
      <c r="L119" s="237">
        <v>0</v>
      </c>
      <c r="M119" s="237">
        <v>0</v>
      </c>
      <c r="N119" s="237">
        <v>0</v>
      </c>
      <c r="O119" s="237">
        <v>0</v>
      </c>
      <c r="P119" s="237">
        <v>0</v>
      </c>
      <c r="Q119" s="237">
        <v>0</v>
      </c>
      <c r="R119" s="237">
        <v>0</v>
      </c>
      <c r="S119" s="237">
        <v>0</v>
      </c>
    </row>
    <row r="120" spans="1:31" outlineLevel="1">
      <c r="C120" s="216" t="str">
        <f>+Model!B184</f>
        <v>Other non-operating income and expeneses</v>
      </c>
      <c r="D120" s="208" t="s">
        <v>67</v>
      </c>
      <c r="E120" s="292"/>
      <c r="F120" s="292"/>
      <c r="G120" s="292"/>
      <c r="H120" s="292"/>
      <c r="I120" s="292"/>
      <c r="J120" s="569">
        <v>0</v>
      </c>
      <c r="K120" s="570">
        <v>0</v>
      </c>
      <c r="L120" s="570">
        <v>0</v>
      </c>
      <c r="M120" s="570">
        <v>0</v>
      </c>
      <c r="N120" s="570">
        <v>0</v>
      </c>
      <c r="O120" s="570">
        <v>0</v>
      </c>
      <c r="P120" s="570">
        <v>0</v>
      </c>
      <c r="Q120" s="570">
        <v>0</v>
      </c>
      <c r="R120" s="570">
        <v>0</v>
      </c>
      <c r="S120" s="570">
        <v>0</v>
      </c>
    </row>
    <row r="121" spans="1:31" s="213" customFormat="1" outlineLevel="1">
      <c r="C121" s="213" t="str">
        <f>+Model!B185</f>
        <v>Earnings before taxes</v>
      </c>
      <c r="D121" s="211" t="s">
        <v>67</v>
      </c>
      <c r="J121" s="556">
        <f>+SUM(J116:J120)</f>
        <v>0</v>
      </c>
      <c r="K121" s="219">
        <f t="shared" ref="K121:S121" si="50">+SUM(K116:K120)</f>
        <v>2.8034889222529209</v>
      </c>
      <c r="L121" s="219">
        <f t="shared" si="50"/>
        <v>5.6069778445058418</v>
      </c>
      <c r="M121" s="219">
        <f t="shared" si="50"/>
        <v>8.4104667667587663</v>
      </c>
      <c r="N121" s="219">
        <f t="shared" si="50"/>
        <v>11.213955689011684</v>
      </c>
      <c r="O121" s="219">
        <f t="shared" si="50"/>
        <v>14.017444611264594</v>
      </c>
      <c r="P121" s="219">
        <f t="shared" si="50"/>
        <v>16.820933533517533</v>
      </c>
      <c r="Q121" s="219">
        <f t="shared" si="50"/>
        <v>19.624422455770457</v>
      </c>
      <c r="R121" s="219">
        <f t="shared" si="50"/>
        <v>22.427911378023367</v>
      </c>
      <c r="S121" s="219">
        <f t="shared" si="50"/>
        <v>25.231400300276277</v>
      </c>
    </row>
    <row r="122" spans="1:31" outlineLevel="1">
      <c r="C122" s="216" t="str">
        <f>+Model!B186</f>
        <v>Taxes</v>
      </c>
      <c r="D122" s="208" t="s">
        <v>67</v>
      </c>
      <c r="E122" s="292"/>
      <c r="F122" s="292"/>
      <c r="G122" s="292"/>
      <c r="H122" s="292"/>
      <c r="I122" s="292"/>
      <c r="J122" s="571">
        <f>MIN(J121*-Macros!E15,0)</f>
        <v>0</v>
      </c>
      <c r="K122" s="325">
        <f>MIN(K121*-Macros!F15,0)</f>
        <v>-0.72890711978575951</v>
      </c>
      <c r="L122" s="325">
        <f>MIN(L121*-Macros!G15,0)</f>
        <v>-1.457814239571519</v>
      </c>
      <c r="M122" s="325">
        <f>MIN(M121*-Macros!H15,0)</f>
        <v>-2.1867213593572794</v>
      </c>
      <c r="N122" s="325">
        <f>MIN(N121*-Macros!I15,0)</f>
        <v>-2.915628479143038</v>
      </c>
      <c r="O122" s="325">
        <f>MIN(O121*-Macros!J15,0)</f>
        <v>-3.6445355989287944</v>
      </c>
      <c r="P122" s="325">
        <f>MIN(P121*-Macros!K15,0)</f>
        <v>-4.3734427187145588</v>
      </c>
      <c r="Q122" s="325">
        <f>MIN(Q121*-Macros!L15,0)</f>
        <v>-5.1023498385003192</v>
      </c>
      <c r="R122" s="325">
        <f>MIN(R121*-Macros!M15,0)</f>
        <v>-5.831256958286076</v>
      </c>
      <c r="S122" s="325">
        <f>MIN(S121*-Macros!N15,0)</f>
        <v>-6.560164078071832</v>
      </c>
    </row>
    <row r="123" spans="1:31" s="213" customFormat="1" outlineLevel="1">
      <c r="C123" s="213" t="str">
        <f>+Model!B187</f>
        <v>Net profit</v>
      </c>
      <c r="D123" s="211" t="s">
        <v>67</v>
      </c>
      <c r="I123" s="562">
        <f>+SUM(J123:S123)</f>
        <v>93.356181111022266</v>
      </c>
      <c r="J123" s="556">
        <f>+J121+J122</f>
        <v>0</v>
      </c>
      <c r="K123" s="219">
        <f t="shared" ref="K123:S123" si="51">+K121+K122</f>
        <v>2.0745818024671614</v>
      </c>
      <c r="L123" s="219">
        <f t="shared" si="51"/>
        <v>4.1491636049343228</v>
      </c>
      <c r="M123" s="219">
        <f t="shared" si="51"/>
        <v>6.2237454074014869</v>
      </c>
      <c r="N123" s="219">
        <f t="shared" si="51"/>
        <v>8.2983272098686456</v>
      </c>
      <c r="O123" s="219">
        <f t="shared" si="51"/>
        <v>10.3729090123358</v>
      </c>
      <c r="P123" s="219">
        <f t="shared" si="51"/>
        <v>12.447490814802974</v>
      </c>
      <c r="Q123" s="219">
        <f t="shared" si="51"/>
        <v>14.522072617270137</v>
      </c>
      <c r="R123" s="219">
        <f t="shared" si="51"/>
        <v>16.596654419737291</v>
      </c>
      <c r="S123" s="219">
        <f t="shared" si="51"/>
        <v>18.671236222204445</v>
      </c>
    </row>
    <row r="125" spans="1:31" s="516" customFormat="1">
      <c r="A125" s="177" t="s">
        <v>10</v>
      </c>
      <c r="B125" s="178" t="s">
        <v>530</v>
      </c>
      <c r="C125" s="519"/>
      <c r="D125" s="178"/>
      <c r="E125" s="178"/>
      <c r="F125" s="178"/>
      <c r="G125" s="178"/>
      <c r="H125" s="178"/>
      <c r="I125" s="178"/>
      <c r="J125" s="520"/>
      <c r="K125" s="178"/>
      <c r="L125" s="178"/>
      <c r="M125" s="178"/>
      <c r="N125" s="178"/>
      <c r="O125" s="178"/>
      <c r="P125" s="178"/>
      <c r="Q125" s="178"/>
      <c r="R125" s="178"/>
      <c r="S125" s="178"/>
      <c r="T125" s="518"/>
      <c r="U125" s="518"/>
      <c r="V125" s="518"/>
      <c r="W125" s="518"/>
      <c r="X125" s="518"/>
      <c r="Y125" s="518"/>
      <c r="Z125" s="518"/>
      <c r="AA125" s="518"/>
      <c r="AB125" s="518"/>
      <c r="AC125" s="518"/>
      <c r="AD125" s="518"/>
      <c r="AE125" s="518"/>
    </row>
    <row r="126" spans="1:31" outlineLevel="1">
      <c r="C126" s="184" t="s">
        <v>63</v>
      </c>
      <c r="D126" s="182" t="s">
        <v>67</v>
      </c>
      <c r="J126" s="572">
        <f>+Model!O174</f>
        <v>47.307545875699994</v>
      </c>
      <c r="K126" s="214">
        <f>+Model!P174</f>
        <v>80.726772251970999</v>
      </c>
      <c r="L126" s="214">
        <f>+Model!Q174</f>
        <v>114.18857541953012</v>
      </c>
      <c r="M126" s="214">
        <f>+Model!R174</f>
        <v>147.69423268211602</v>
      </c>
      <c r="N126" s="214">
        <f>+Model!S174</f>
        <v>181.24505966257951</v>
      </c>
      <c r="O126" s="214">
        <f>+Model!T174</f>
        <v>214.8424114524569</v>
      </c>
      <c r="P126" s="214">
        <f>+Model!U174</f>
        <v>248.48768379603061</v>
      </c>
      <c r="Q126" s="214">
        <f>+Model!V174</f>
        <v>282.18231430991153</v>
      </c>
      <c r="R126" s="214">
        <f>+Model!W174</f>
        <v>315.92778373920885</v>
      </c>
      <c r="S126" s="214">
        <f>+Model!X174</f>
        <v>349.72561725138513</v>
      </c>
      <c r="T126" s="518"/>
    </row>
    <row r="127" spans="1:31" outlineLevel="1">
      <c r="C127" s="216" t="s">
        <v>31</v>
      </c>
      <c r="D127" s="208" t="s">
        <v>67</v>
      </c>
      <c r="E127" s="292"/>
      <c r="F127" s="292"/>
      <c r="G127" s="292"/>
      <c r="H127" s="292"/>
      <c r="I127" s="292"/>
      <c r="J127" s="571">
        <f>+Model!O175</f>
        <v>-17.025558629328973</v>
      </c>
      <c r="K127" s="325">
        <f>+Model!P175</f>
        <v>-29.05283646595592</v>
      </c>
      <c r="L127" s="325">
        <f>+Model!Q175</f>
        <v>-41.095437305349265</v>
      </c>
      <c r="M127" s="325">
        <f>+Model!R175</f>
        <v>-53.153820837591994</v>
      </c>
      <c r="N127" s="325">
        <f>+Model!S175</f>
        <v>-65.228460543469595</v>
      </c>
      <c r="O127" s="325">
        <f>+Model!T175</f>
        <v>-77.31984410819112</v>
      </c>
      <c r="P127" s="325">
        <f>+Model!U175</f>
        <v>-89.428473847521872</v>
      </c>
      <c r="Q127" s="325">
        <f>+Model!V175</f>
        <v>-101.55486714670013</v>
      </c>
      <c r="R127" s="325">
        <f>+Model!W175</f>
        <v>-113.69955691252133</v>
      </c>
      <c r="S127" s="325">
        <f>+Model!X175</f>
        <v>-125.86309203898475</v>
      </c>
      <c r="T127" s="518"/>
    </row>
    <row r="128" spans="1:31" outlineLevel="1">
      <c r="C128" s="213" t="s">
        <v>64</v>
      </c>
      <c r="D128" s="211" t="s">
        <v>67</v>
      </c>
      <c r="E128" s="213"/>
      <c r="F128" s="213"/>
      <c r="G128" s="213"/>
      <c r="H128" s="213"/>
      <c r="I128" s="562">
        <f>+SUM(J128:S128)</f>
        <v>1268.9060486052747</v>
      </c>
      <c r="J128" s="573">
        <f>SUM(J126:J127)</f>
        <v>30.28198724637102</v>
      </c>
      <c r="K128" s="218">
        <f t="shared" ref="K128:S128" si="52">SUM(K126:K127)</f>
        <v>51.673935786015079</v>
      </c>
      <c r="L128" s="218">
        <f t="shared" si="52"/>
        <v>73.09313811418086</v>
      </c>
      <c r="M128" s="218">
        <f t="shared" si="52"/>
        <v>94.54041184452403</v>
      </c>
      <c r="N128" s="218">
        <f t="shared" si="52"/>
        <v>116.01659911910991</v>
      </c>
      <c r="O128" s="218">
        <f t="shared" si="52"/>
        <v>137.52256734426578</v>
      </c>
      <c r="P128" s="218">
        <f t="shared" si="52"/>
        <v>159.05920994850874</v>
      </c>
      <c r="Q128" s="218">
        <f t="shared" si="52"/>
        <v>180.6274471632114</v>
      </c>
      <c r="R128" s="218">
        <f t="shared" si="52"/>
        <v>202.22822682668752</v>
      </c>
      <c r="S128" s="218">
        <f t="shared" si="52"/>
        <v>223.86252521240039</v>
      </c>
      <c r="T128" s="518"/>
    </row>
    <row r="129" spans="3:20" outlineLevel="1">
      <c r="C129" s="216" t="s">
        <v>32</v>
      </c>
      <c r="D129" s="208" t="s">
        <v>67</v>
      </c>
      <c r="E129" s="292"/>
      <c r="F129" s="292"/>
      <c r="G129" s="292"/>
      <c r="H129" s="292"/>
      <c r="I129" s="292"/>
      <c r="J129" s="571">
        <f>+Model!O177</f>
        <v>-26.807581416400001</v>
      </c>
      <c r="K129" s="325">
        <f>+Model!P177</f>
        <v>-44.550035026826002</v>
      </c>
      <c r="L129" s="325">
        <f>+Model!Q177</f>
        <v>-63.021136077630786</v>
      </c>
      <c r="M129" s="325">
        <f>+Model!R177</f>
        <v>-81.515970159959707</v>
      </c>
      <c r="N129" s="325">
        <f>+Model!S177</f>
        <v>-100.03524926475851</v>
      </c>
      <c r="O129" s="325">
        <f>+Model!T177</f>
        <v>-118.57970674270126</v>
      </c>
      <c r="P129" s="325">
        <f>+Model!U177</f>
        <v>-137.15009794498229</v>
      </c>
      <c r="Q129" s="325">
        <f>+Model!V177</f>
        <v>-155.74720088333174</v>
      </c>
      <c r="R129" s="325">
        <f>+Model!W177</f>
        <v>-174.37181690983172</v>
      </c>
      <c r="S129" s="325">
        <f>+Model!X177</f>
        <v>-193.02477141712666</v>
      </c>
      <c r="T129" s="518"/>
    </row>
    <row r="130" spans="3:20" outlineLevel="1">
      <c r="C130" s="213" t="s">
        <v>33</v>
      </c>
      <c r="D130" s="211" t="s">
        <v>67</v>
      </c>
      <c r="E130" s="213"/>
      <c r="F130" s="213"/>
      <c r="G130" s="213"/>
      <c r="H130" s="213"/>
      <c r="I130" s="562">
        <f>+SUM(J130:S130)</f>
        <v>174.10248276172604</v>
      </c>
      <c r="J130" s="573">
        <f>+SUM(J128:J129)</f>
        <v>3.474405829971019</v>
      </c>
      <c r="K130" s="218">
        <f t="shared" ref="K130:S130" si="53">+SUM(K128:K129)</f>
        <v>7.1239007591890768</v>
      </c>
      <c r="L130" s="218">
        <f t="shared" si="53"/>
        <v>10.072002036550074</v>
      </c>
      <c r="M130" s="218">
        <f t="shared" si="53"/>
        <v>13.024441684564323</v>
      </c>
      <c r="N130" s="218">
        <f t="shared" si="53"/>
        <v>15.981349854351407</v>
      </c>
      <c r="O130" s="218">
        <f t="shared" si="53"/>
        <v>18.942860601564519</v>
      </c>
      <c r="P130" s="218">
        <f t="shared" si="53"/>
        <v>21.909112003526445</v>
      </c>
      <c r="Q130" s="218">
        <f t="shared" si="53"/>
        <v>24.880246279879657</v>
      </c>
      <c r="R130" s="218">
        <f t="shared" si="53"/>
        <v>27.856409916855796</v>
      </c>
      <c r="S130" s="218">
        <f t="shared" si="53"/>
        <v>30.837753795273727</v>
      </c>
      <c r="T130" s="518"/>
    </row>
    <row r="131" spans="3:20" outlineLevel="1">
      <c r="C131" s="216" t="s">
        <v>34</v>
      </c>
      <c r="D131" s="208" t="s">
        <v>67</v>
      </c>
      <c r="E131" s="292"/>
      <c r="F131" s="292"/>
      <c r="G131" s="292"/>
      <c r="H131" s="292"/>
      <c r="I131" s="292"/>
      <c r="J131" s="571">
        <f>+Model!O179</f>
        <v>-0.33486041600000005</v>
      </c>
      <c r="K131" s="325">
        <f>+Model!P179</f>
        <v>-0.38216796187570007</v>
      </c>
      <c r="L131" s="325">
        <f>+Model!Q179</f>
        <v>-0.46289473412767101</v>
      </c>
      <c r="M131" s="325">
        <f>+Model!R179</f>
        <v>-0.57708330954720122</v>
      </c>
      <c r="N131" s="325">
        <f>+Model!S179</f>
        <v>-0.72477754222931723</v>
      </c>
      <c r="O131" s="325">
        <f>+Model!T179</f>
        <v>-0.90602260189189676</v>
      </c>
      <c r="P131" s="325">
        <f>+Model!U179</f>
        <v>-1.1208650133443538</v>
      </c>
      <c r="Q131" s="325">
        <f>+Model!V179</f>
        <v>-1.3693526971403847</v>
      </c>
      <c r="R131" s="325">
        <f>+Model!W179</f>
        <v>-1.6515350114502962</v>
      </c>
      <c r="S131" s="325">
        <f>+Model!X179</f>
        <v>-1.9674627951895047</v>
      </c>
      <c r="T131" s="518"/>
    </row>
    <row r="132" spans="3:20" outlineLevel="1">
      <c r="C132" s="213" t="s">
        <v>35</v>
      </c>
      <c r="D132" s="211" t="s">
        <v>67</v>
      </c>
      <c r="E132" s="213"/>
      <c r="F132" s="213"/>
      <c r="G132" s="213"/>
      <c r="H132" s="213"/>
      <c r="I132" s="562">
        <f>+SUM(J132:S132)</f>
        <v>164.60546067892972</v>
      </c>
      <c r="J132" s="573">
        <f>+SUM(J130:J131)</f>
        <v>3.1395454139710188</v>
      </c>
      <c r="K132" s="218">
        <f t="shared" ref="K132:S132" si="54">+SUM(K130:K131)</f>
        <v>6.7417327973133769</v>
      </c>
      <c r="L132" s="218">
        <f t="shared" si="54"/>
        <v>9.6091073024224034</v>
      </c>
      <c r="M132" s="218">
        <f t="shared" si="54"/>
        <v>12.447358375017121</v>
      </c>
      <c r="N132" s="218">
        <f t="shared" si="54"/>
        <v>15.25657231212209</v>
      </c>
      <c r="O132" s="218">
        <f t="shared" si="54"/>
        <v>18.03683799967262</v>
      </c>
      <c r="P132" s="218">
        <f t="shared" si="54"/>
        <v>20.788246990182092</v>
      </c>
      <c r="Q132" s="218">
        <f t="shared" si="54"/>
        <v>23.510893582739271</v>
      </c>
      <c r="R132" s="218">
        <f t="shared" si="54"/>
        <v>26.2048749054055</v>
      </c>
      <c r="S132" s="218">
        <f t="shared" si="54"/>
        <v>28.870291000084222</v>
      </c>
      <c r="T132" s="518"/>
    </row>
    <row r="133" spans="3:20" outlineLevel="1">
      <c r="C133" s="184" t="s">
        <v>719</v>
      </c>
      <c r="D133" s="182" t="s">
        <v>67</v>
      </c>
      <c r="J133" s="572">
        <f>+Model!O181</f>
        <v>-2.1270951223257684</v>
      </c>
      <c r="K133" s="214">
        <f>+Model!P181</f>
        <v>-4.2182726465714246</v>
      </c>
      <c r="L133" s="214">
        <f>+Model!Q181</f>
        <v>-4.1221601052571391</v>
      </c>
      <c r="M133" s="214">
        <f>+Model!R181</f>
        <v>-4.0281833981942814</v>
      </c>
      <c r="N133" s="214">
        <f>+Model!S181</f>
        <v>-4.0324550666971382</v>
      </c>
      <c r="O133" s="214">
        <f>+Model!T181</f>
        <v>-4.0580850777142814</v>
      </c>
      <c r="P133" s="214">
        <f>+Model!U181</f>
        <v>-4.0580850777142814</v>
      </c>
      <c r="Q133" s="214">
        <f>+Model!V181</f>
        <v>-4.0580850777142814</v>
      </c>
      <c r="R133" s="214">
        <f>+Model!W181</f>
        <v>-4.0580850777142814</v>
      </c>
      <c r="S133" s="214">
        <f>+Model!X181</f>
        <v>-4.0580850777142814</v>
      </c>
      <c r="T133" s="518"/>
    </row>
    <row r="134" spans="3:20" outlineLevel="1">
      <c r="C134" s="184" t="s">
        <v>720</v>
      </c>
      <c r="D134" s="182" t="s">
        <v>67</v>
      </c>
      <c r="J134" s="572">
        <f>+Model!O182</f>
        <v>-0.94075027542857081</v>
      </c>
      <c r="K134" s="214">
        <f>+Model!P182</f>
        <v>0</v>
      </c>
      <c r="L134" s="214">
        <f>+Model!Q182</f>
        <v>0</v>
      </c>
      <c r="M134" s="214">
        <f>+Model!R182</f>
        <v>0</v>
      </c>
      <c r="N134" s="214">
        <f>+Model!S182</f>
        <v>0</v>
      </c>
      <c r="O134" s="214">
        <f>+Model!T182</f>
        <v>0</v>
      </c>
      <c r="P134" s="214">
        <f>+Model!U182</f>
        <v>0</v>
      </c>
      <c r="Q134" s="214">
        <f>+Model!V182</f>
        <v>0</v>
      </c>
      <c r="R134" s="214">
        <f>+Model!W182</f>
        <v>0</v>
      </c>
      <c r="S134" s="214">
        <f>+Model!X182</f>
        <v>0</v>
      </c>
      <c r="T134" s="518"/>
    </row>
    <row r="135" spans="3:20" outlineLevel="1">
      <c r="C135" s="184" t="s">
        <v>193</v>
      </c>
      <c r="D135" s="182" t="s">
        <v>67</v>
      </c>
      <c r="J135" s="572">
        <f>+Model!O183</f>
        <v>-1.8434512669714254</v>
      </c>
      <c r="K135" s="214">
        <f>+Model!P183</f>
        <v>-1.8434512669714254</v>
      </c>
      <c r="L135" s="214">
        <f>+Model!Q183</f>
        <v>-1.8434512669714254</v>
      </c>
      <c r="M135" s="214">
        <f>+Model!R183</f>
        <v>-2.1702073246302476</v>
      </c>
      <c r="N135" s="214">
        <f>+Model!S183</f>
        <v>-2.4863893960562167</v>
      </c>
      <c r="O135" s="214">
        <f>+Model!T183</f>
        <v>-2.6937225623809677</v>
      </c>
      <c r="P135" s="214">
        <f>+Model!U183</f>
        <v>-2.7939945594166082</v>
      </c>
      <c r="Q135" s="214">
        <f>+Model!V183</f>
        <v>-2.7939945594166082</v>
      </c>
      <c r="R135" s="214">
        <f>+Model!W183</f>
        <v>-2.7939945594166082</v>
      </c>
      <c r="S135" s="214">
        <f>+Model!X183</f>
        <v>-2.7939945594166082</v>
      </c>
      <c r="T135" s="518"/>
    </row>
    <row r="136" spans="3:20" outlineLevel="1">
      <c r="C136" s="216" t="s">
        <v>36</v>
      </c>
      <c r="D136" s="208" t="s">
        <v>67</v>
      </c>
      <c r="E136" s="292"/>
      <c r="F136" s="292"/>
      <c r="G136" s="292"/>
      <c r="H136" s="292"/>
      <c r="I136" s="292"/>
      <c r="J136" s="571">
        <f>+Model!O184</f>
        <v>0</v>
      </c>
      <c r="K136" s="325">
        <f>+Model!P184</f>
        <v>0</v>
      </c>
      <c r="L136" s="325">
        <f>+Model!Q184</f>
        <v>0</v>
      </c>
      <c r="M136" s="325">
        <f>+Model!R184</f>
        <v>0</v>
      </c>
      <c r="N136" s="325">
        <f>+Model!S184</f>
        <v>0</v>
      </c>
      <c r="O136" s="325">
        <f>+Model!T184</f>
        <v>0</v>
      </c>
      <c r="P136" s="325">
        <f>+Model!U184</f>
        <v>0</v>
      </c>
      <c r="Q136" s="325">
        <f>+Model!V184</f>
        <v>0</v>
      </c>
      <c r="R136" s="325">
        <f>+Model!W184</f>
        <v>0</v>
      </c>
      <c r="S136" s="325">
        <f>+Model!X184</f>
        <v>0</v>
      </c>
      <c r="T136" s="518"/>
    </row>
    <row r="137" spans="3:20" outlineLevel="1">
      <c r="C137" s="213" t="s">
        <v>37</v>
      </c>
      <c r="D137" s="211" t="s">
        <v>67</v>
      </c>
      <c r="E137" s="213"/>
      <c r="F137" s="213"/>
      <c r="G137" s="213"/>
      <c r="H137" s="213"/>
      <c r="I137" s="213"/>
      <c r="J137" s="573">
        <f>+SUM(J132:J136)</f>
        <v>-1.7717512507547457</v>
      </c>
      <c r="K137" s="218">
        <f t="shared" ref="K137:S137" si="55">+SUM(K132:K136)</f>
        <v>0.68000888377052693</v>
      </c>
      <c r="L137" s="218">
        <f t="shared" si="55"/>
        <v>3.643495930193839</v>
      </c>
      <c r="M137" s="218">
        <f t="shared" si="55"/>
        <v>6.2489676521925919</v>
      </c>
      <c r="N137" s="218">
        <f t="shared" si="55"/>
        <v>8.7377278493687367</v>
      </c>
      <c r="O137" s="218">
        <f t="shared" si="55"/>
        <v>11.285030359577371</v>
      </c>
      <c r="P137" s="218">
        <f t="shared" si="55"/>
        <v>13.936167353051202</v>
      </c>
      <c r="Q137" s="218">
        <f t="shared" si="55"/>
        <v>16.658813945608383</v>
      </c>
      <c r="R137" s="218">
        <f t="shared" si="55"/>
        <v>19.352795268274612</v>
      </c>
      <c r="S137" s="218">
        <f t="shared" si="55"/>
        <v>22.018211362953334</v>
      </c>
      <c r="T137" s="518"/>
    </row>
    <row r="138" spans="3:20" outlineLevel="1">
      <c r="C138" s="216" t="s">
        <v>38</v>
      </c>
      <c r="D138" s="208" t="s">
        <v>67</v>
      </c>
      <c r="E138" s="292"/>
      <c r="F138" s="292"/>
      <c r="G138" s="292"/>
      <c r="H138" s="292"/>
      <c r="I138" s="292"/>
      <c r="J138" s="571">
        <f>+Model!O186</f>
        <v>0</v>
      </c>
      <c r="K138" s="325">
        <f>+Model!P186</f>
        <v>-0.17680230978033701</v>
      </c>
      <c r="L138" s="325">
        <f>+Model!Q186</f>
        <v>-0.94730894185039816</v>
      </c>
      <c r="M138" s="325">
        <f>+Model!R186</f>
        <v>-1.624731589570074</v>
      </c>
      <c r="N138" s="325">
        <f>+Model!S186</f>
        <v>-2.2718092408358714</v>
      </c>
      <c r="O138" s="325">
        <f>+Model!T186</f>
        <v>-2.9341078934901166</v>
      </c>
      <c r="P138" s="325">
        <f>+Model!U186</f>
        <v>-3.6234035117933128</v>
      </c>
      <c r="Q138" s="325">
        <f>+Model!V186</f>
        <v>-4.3312916258581797</v>
      </c>
      <c r="R138" s="325">
        <f>+Model!W186</f>
        <v>-5.0317267697513994</v>
      </c>
      <c r="S138" s="325">
        <f>+Model!X186</f>
        <v>-5.7247349543678672</v>
      </c>
      <c r="T138" s="518"/>
    </row>
    <row r="139" spans="3:20" outlineLevel="1">
      <c r="C139" s="213" t="s">
        <v>39</v>
      </c>
      <c r="D139" s="211" t="s">
        <v>67</v>
      </c>
      <c r="E139" s="213"/>
      <c r="F139" s="213"/>
      <c r="G139" s="213"/>
      <c r="H139" s="213"/>
      <c r="I139" s="562">
        <f>+SUM(J139:S139)</f>
        <v>74.123550516938295</v>
      </c>
      <c r="J139" s="573">
        <f>+SUM(J137:J138)</f>
        <v>-1.7717512507547457</v>
      </c>
      <c r="K139" s="218">
        <f t="shared" ref="K139" si="56">+SUM(K137:K138)</f>
        <v>0.50320657399018986</v>
      </c>
      <c r="L139" s="218">
        <f t="shared" ref="L139" si="57">+SUM(L137:L138)</f>
        <v>2.6961869883434408</v>
      </c>
      <c r="M139" s="218">
        <f t="shared" ref="M139" si="58">+SUM(M137:M138)</f>
        <v>4.6242360626225176</v>
      </c>
      <c r="N139" s="218">
        <f t="shared" ref="N139" si="59">+SUM(N137:N138)</f>
        <v>6.4659186085328653</v>
      </c>
      <c r="O139" s="218">
        <f t="shared" ref="O139" si="60">+SUM(O137:O138)</f>
        <v>8.3509224660872547</v>
      </c>
      <c r="P139" s="218">
        <f t="shared" ref="P139" si="61">+SUM(P137:P138)</f>
        <v>10.312763841257889</v>
      </c>
      <c r="Q139" s="218">
        <f t="shared" ref="Q139" si="62">+SUM(Q137:Q138)</f>
        <v>12.327522319750203</v>
      </c>
      <c r="R139" s="218">
        <f t="shared" ref="R139" si="63">+SUM(R137:R138)</f>
        <v>14.321068498523212</v>
      </c>
      <c r="S139" s="218">
        <f t="shared" ref="S139" si="64">+SUM(S137:S138)</f>
        <v>16.293476408585466</v>
      </c>
      <c r="T139" s="518"/>
    </row>
    <row r="140" spans="3:20" outlineLevel="1"/>
    <row r="141" spans="3:20" outlineLevel="1">
      <c r="C141" s="401" t="s">
        <v>62</v>
      </c>
      <c r="D141" s="182" t="s">
        <v>14</v>
      </c>
      <c r="I141" s="186">
        <f>I128/SUM(J126:S126)</f>
        <v>0.64010902882040377</v>
      </c>
      <c r="J141" s="558">
        <f t="shared" ref="J141:S141" si="65">+J128/J126</f>
        <v>0.64010902882040377</v>
      </c>
      <c r="K141" s="243">
        <f t="shared" si="65"/>
        <v>0.64010902882040377</v>
      </c>
      <c r="L141" s="243">
        <f t="shared" si="65"/>
        <v>0.64010902882040377</v>
      </c>
      <c r="M141" s="243">
        <f t="shared" si="65"/>
        <v>0.64010902882040377</v>
      </c>
      <c r="N141" s="243">
        <f t="shared" si="65"/>
        <v>0.64010902882040377</v>
      </c>
      <c r="O141" s="243">
        <f t="shared" si="65"/>
        <v>0.64010902882040377</v>
      </c>
      <c r="P141" s="243">
        <f t="shared" si="65"/>
        <v>0.64010902882040377</v>
      </c>
      <c r="Q141" s="243">
        <f t="shared" si="65"/>
        <v>0.64010902882040377</v>
      </c>
      <c r="R141" s="243">
        <f t="shared" si="65"/>
        <v>0.64010902882040377</v>
      </c>
      <c r="S141" s="243">
        <f t="shared" si="65"/>
        <v>0.64010902882040377</v>
      </c>
    </row>
    <row r="142" spans="3:20" outlineLevel="1">
      <c r="C142" s="401" t="s">
        <v>65</v>
      </c>
      <c r="D142" s="182" t="s">
        <v>14</v>
      </c>
      <c r="I142" s="186">
        <f>+I130/SUM(J126:S126)</f>
        <v>8.7827283413397295E-2</v>
      </c>
      <c r="J142" s="563">
        <f t="shared" ref="J142:S142" si="66">+J130/J126</f>
        <v>7.3442952189910218E-2</v>
      </c>
      <c r="K142" s="186">
        <f t="shared" si="66"/>
        <v>8.8247065508247693E-2</v>
      </c>
      <c r="L142" s="186">
        <f t="shared" si="66"/>
        <v>8.8204988980249768E-2</v>
      </c>
      <c r="M142" s="186">
        <f t="shared" si="66"/>
        <v>8.8185174519285231E-2</v>
      </c>
      <c r="N142" s="186">
        <f t="shared" si="66"/>
        <v>8.817536811267343E-2</v>
      </c>
      <c r="O142" s="186">
        <f t="shared" si="66"/>
        <v>8.8170955043280361E-2</v>
      </c>
      <c r="P142" s="186">
        <f t="shared" si="66"/>
        <v>8.8169810546869551E-2</v>
      </c>
      <c r="Q142" s="186">
        <f t="shared" si="66"/>
        <v>8.8170820842281783E-2</v>
      </c>
      <c r="R142" s="186">
        <f t="shared" si="66"/>
        <v>8.8173346412136464E-2</v>
      </c>
      <c r="S142" s="186">
        <f t="shared" si="66"/>
        <v>8.8176994403893899E-2</v>
      </c>
    </row>
    <row r="143" spans="3:20" outlineLevel="1">
      <c r="C143" s="401" t="s">
        <v>66</v>
      </c>
      <c r="D143" s="182" t="s">
        <v>14</v>
      </c>
      <c r="I143" s="186">
        <f>+I139/SUM(J126:S126)</f>
        <v>3.739217256176635E-2</v>
      </c>
      <c r="J143" s="563">
        <f t="shared" ref="J143:S143" si="67">+J139/J126</f>
        <v>-3.7451768379826778E-2</v>
      </c>
      <c r="K143" s="186">
        <f t="shared" si="67"/>
        <v>6.2334534126985827E-3</v>
      </c>
      <c r="L143" s="186">
        <f t="shared" si="67"/>
        <v>2.3611705272945382E-2</v>
      </c>
      <c r="M143" s="186">
        <f t="shared" si="67"/>
        <v>3.1309523592402647E-2</v>
      </c>
      <c r="N143" s="186">
        <f t="shared" si="67"/>
        <v>3.5675006097106006E-2</v>
      </c>
      <c r="O143" s="186">
        <f t="shared" si="67"/>
        <v>3.886999037866997E-2</v>
      </c>
      <c r="P143" s="186">
        <f t="shared" si="67"/>
        <v>4.1502112634777703E-2</v>
      </c>
      <c r="Q143" s="186">
        <f t="shared" si="67"/>
        <v>4.3686374710965377E-2</v>
      </c>
      <c r="R143" s="186">
        <f t="shared" si="67"/>
        <v>4.5330196442440553E-2</v>
      </c>
      <c r="S143" s="186">
        <f t="shared" si="67"/>
        <v>4.6589313464199582E-2</v>
      </c>
    </row>
    <row r="145" spans="1:31" s="516" customFormat="1">
      <c r="A145" s="177" t="s">
        <v>10</v>
      </c>
      <c r="B145" s="178" t="s">
        <v>532</v>
      </c>
      <c r="C145" s="519"/>
      <c r="D145" s="178"/>
      <c r="E145" s="178"/>
      <c r="F145" s="178"/>
      <c r="G145" s="178"/>
      <c r="H145" s="178"/>
      <c r="I145" s="178"/>
      <c r="J145" s="520"/>
      <c r="K145" s="178"/>
      <c r="L145" s="178"/>
      <c r="M145" s="178"/>
      <c r="N145" s="178"/>
      <c r="O145" s="178"/>
      <c r="P145" s="178"/>
      <c r="Q145" s="178"/>
      <c r="R145" s="178"/>
      <c r="S145" s="178"/>
      <c r="T145" s="518"/>
      <c r="U145" s="518"/>
      <c r="V145" s="518"/>
      <c r="W145" s="518"/>
      <c r="X145" s="518"/>
      <c r="Y145" s="518"/>
      <c r="Z145" s="518"/>
      <c r="AA145" s="518"/>
      <c r="AB145" s="518"/>
      <c r="AC145" s="518"/>
      <c r="AD145" s="518"/>
      <c r="AE145" s="518"/>
    </row>
    <row r="146" spans="1:31" outlineLevel="1">
      <c r="C146" s="184" t="s">
        <v>535</v>
      </c>
      <c r="D146" s="182" t="s">
        <v>67</v>
      </c>
      <c r="I146" s="201">
        <f>+SUM(J146:S146)</f>
        <v>47.945481260344607</v>
      </c>
      <c r="J146" s="383">
        <f>+J94</f>
        <v>3.474405829971019</v>
      </c>
      <c r="K146" s="201">
        <f t="shared" ref="K146:S146" si="68">+K94</f>
        <v>4.3204118369361559</v>
      </c>
      <c r="L146" s="201">
        <f t="shared" si="68"/>
        <v>4.4650241920442326</v>
      </c>
      <c r="M146" s="201">
        <f t="shared" si="68"/>
        <v>4.6139749178055567</v>
      </c>
      <c r="N146" s="201">
        <f t="shared" si="68"/>
        <v>4.7673941653397236</v>
      </c>
      <c r="O146" s="201">
        <f t="shared" si="68"/>
        <v>4.9254159902999248</v>
      </c>
      <c r="P146" s="201">
        <f t="shared" si="68"/>
        <v>5.0881784700089128</v>
      </c>
      <c r="Q146" s="201">
        <f t="shared" si="68"/>
        <v>5.2558238241091999</v>
      </c>
      <c r="R146" s="201">
        <f t="shared" si="68"/>
        <v>5.4284985388324287</v>
      </c>
      <c r="S146" s="201">
        <f t="shared" si="68"/>
        <v>5.6063534949974496</v>
      </c>
    </row>
    <row r="147" spans="1:31" outlineLevel="1">
      <c r="C147" s="216" t="s">
        <v>533</v>
      </c>
      <c r="D147" s="208" t="s">
        <v>67</v>
      </c>
      <c r="E147" s="292"/>
      <c r="F147" s="292"/>
      <c r="G147" s="292"/>
      <c r="H147" s="292"/>
      <c r="I147" s="294">
        <f t="shared" ref="I147" si="69">+SUM(J147:S147)</f>
        <v>126.15700150138144</v>
      </c>
      <c r="J147" s="574">
        <f>+J114</f>
        <v>0</v>
      </c>
      <c r="K147" s="294">
        <f t="shared" ref="K147:S147" si="70">+K114</f>
        <v>2.8034889222529209</v>
      </c>
      <c r="L147" s="294">
        <f t="shared" si="70"/>
        <v>5.6069778445058418</v>
      </c>
      <c r="M147" s="294">
        <f t="shared" si="70"/>
        <v>8.4104667667587663</v>
      </c>
      <c r="N147" s="294">
        <f t="shared" si="70"/>
        <v>11.213955689011684</v>
      </c>
      <c r="O147" s="294">
        <f t="shared" si="70"/>
        <v>14.017444611264594</v>
      </c>
      <c r="P147" s="294">
        <f t="shared" si="70"/>
        <v>16.820933533517533</v>
      </c>
      <c r="Q147" s="294">
        <f t="shared" si="70"/>
        <v>19.624422455770457</v>
      </c>
      <c r="R147" s="294">
        <f t="shared" si="70"/>
        <v>22.427911378023367</v>
      </c>
      <c r="S147" s="294">
        <f t="shared" si="70"/>
        <v>25.231400300276277</v>
      </c>
    </row>
    <row r="148" spans="1:31" s="213" customFormat="1" outlineLevel="1">
      <c r="C148" s="269" t="s">
        <v>534</v>
      </c>
      <c r="D148" s="211" t="s">
        <v>67</v>
      </c>
      <c r="I148" s="562">
        <f>+SUM(J148:S148)</f>
        <v>174.10248276172604</v>
      </c>
      <c r="J148" s="556">
        <f>+J130</f>
        <v>3.474405829971019</v>
      </c>
      <c r="K148" s="219">
        <f t="shared" ref="K148:S148" si="71">+K130</f>
        <v>7.1239007591890768</v>
      </c>
      <c r="L148" s="219">
        <f t="shared" si="71"/>
        <v>10.072002036550074</v>
      </c>
      <c r="M148" s="219">
        <f t="shared" si="71"/>
        <v>13.024441684564323</v>
      </c>
      <c r="N148" s="219">
        <f t="shared" si="71"/>
        <v>15.981349854351407</v>
      </c>
      <c r="O148" s="219">
        <f t="shared" si="71"/>
        <v>18.942860601564519</v>
      </c>
      <c r="P148" s="219">
        <f t="shared" si="71"/>
        <v>21.909112003526445</v>
      </c>
      <c r="Q148" s="219">
        <f t="shared" si="71"/>
        <v>24.880246279879657</v>
      </c>
      <c r="R148" s="219">
        <f t="shared" si="71"/>
        <v>27.856409916855796</v>
      </c>
      <c r="S148" s="219">
        <f t="shared" si="71"/>
        <v>30.837753795273727</v>
      </c>
    </row>
    <row r="149" spans="1:31" outlineLevel="1"/>
    <row r="150" spans="1:31" outlineLevel="1">
      <c r="C150" s="401" t="s">
        <v>541</v>
      </c>
      <c r="D150" s="182" t="s">
        <v>14</v>
      </c>
      <c r="I150" s="186">
        <f>+I148/I146-1</f>
        <v>2.6312594677347634</v>
      </c>
      <c r="J150" s="563">
        <f>+J148/J146-1</f>
        <v>0</v>
      </c>
      <c r="K150" s="186">
        <f t="shared" ref="K150:S150" si="72">+K148/K146-1</f>
        <v>0.64889390828098237</v>
      </c>
      <c r="L150" s="186">
        <f t="shared" si="72"/>
        <v>1.2557553113589708</v>
      </c>
      <c r="M150" s="186">
        <f t="shared" si="72"/>
        <v>1.8228245529255829</v>
      </c>
      <c r="N150" s="186">
        <f t="shared" si="72"/>
        <v>2.3522191159565216</v>
      </c>
      <c r="O150" s="186">
        <f t="shared" si="72"/>
        <v>2.8459412644272968</v>
      </c>
      <c r="P150" s="186">
        <f t="shared" si="72"/>
        <v>3.3058851281779171</v>
      </c>
      <c r="Q150" s="186">
        <f t="shared" si="72"/>
        <v>3.733843277955871</v>
      </c>
      <c r="R150" s="186">
        <f t="shared" si="72"/>
        <v>4.1315128331686362</v>
      </c>
      <c r="S150" s="186">
        <f t="shared" si="72"/>
        <v>4.5005011408556843</v>
      </c>
    </row>
    <row r="151" spans="1:31" outlineLevel="1">
      <c r="C151" s="401" t="s">
        <v>561</v>
      </c>
      <c r="D151" s="182" t="s">
        <v>113</v>
      </c>
      <c r="I151" s="357">
        <f>+I148/I146</f>
        <v>3.6312594677347634</v>
      </c>
      <c r="J151" s="206">
        <f t="shared" ref="J151:S151" si="73">+J148/J146</f>
        <v>1</v>
      </c>
      <c r="K151" s="186">
        <f t="shared" si="73"/>
        <v>1.6488939082809824</v>
      </c>
      <c r="L151" s="186">
        <f t="shared" si="73"/>
        <v>2.2557553113589708</v>
      </c>
      <c r="M151" s="186">
        <f t="shared" si="73"/>
        <v>2.8228245529255829</v>
      </c>
      <c r="N151" s="186">
        <f t="shared" si="73"/>
        <v>3.3522191159565216</v>
      </c>
      <c r="O151" s="186">
        <f t="shared" si="73"/>
        <v>3.8459412644272968</v>
      </c>
      <c r="P151" s="186">
        <f t="shared" si="73"/>
        <v>4.3058851281779171</v>
      </c>
      <c r="Q151" s="186">
        <f t="shared" si="73"/>
        <v>4.733843277955871</v>
      </c>
      <c r="R151" s="186">
        <f t="shared" si="73"/>
        <v>5.1315128331686362</v>
      </c>
      <c r="S151" s="186">
        <f t="shared" si="73"/>
        <v>5.5005011408556843</v>
      </c>
    </row>
    <row r="152" spans="1:31" outlineLevel="1"/>
    <row r="153" spans="1:31" outlineLevel="1">
      <c r="C153" s="184" t="s">
        <v>536</v>
      </c>
      <c r="D153" s="182" t="s">
        <v>67</v>
      </c>
      <c r="I153" s="201">
        <f>+SUM(J153:S153)</f>
        <v>-19.232630594083972</v>
      </c>
      <c r="J153" s="383">
        <f t="shared" ref="J153:S153" si="74">+J103</f>
        <v>-1.7717512507547457</v>
      </c>
      <c r="K153" s="201">
        <f t="shared" si="74"/>
        <v>-1.5713752284769715</v>
      </c>
      <c r="L153" s="201">
        <f t="shared" si="74"/>
        <v>-1.452976616590882</v>
      </c>
      <c r="M153" s="201">
        <f t="shared" si="74"/>
        <v>-1.5995093447789692</v>
      </c>
      <c r="N153" s="201">
        <f t="shared" si="74"/>
        <v>-1.8324086013357803</v>
      </c>
      <c r="O153" s="201">
        <f t="shared" si="74"/>
        <v>-2.0219865462485451</v>
      </c>
      <c r="P153" s="201">
        <f t="shared" si="74"/>
        <v>-2.1347269735450851</v>
      </c>
      <c r="Q153" s="201">
        <f t="shared" si="74"/>
        <v>-2.1945502975199336</v>
      </c>
      <c r="R153" s="201">
        <f t="shared" si="74"/>
        <v>-2.2755859212140788</v>
      </c>
      <c r="S153" s="201">
        <f t="shared" si="74"/>
        <v>-2.3777598136189795</v>
      </c>
    </row>
    <row r="154" spans="1:31" outlineLevel="1">
      <c r="C154" s="216" t="s">
        <v>533</v>
      </c>
      <c r="D154" s="208" t="s">
        <v>67</v>
      </c>
      <c r="E154" s="292"/>
      <c r="F154" s="292"/>
      <c r="G154" s="292"/>
      <c r="H154" s="292"/>
      <c r="I154" s="294">
        <f t="shared" ref="I154" si="75">+SUM(J154:S154)</f>
        <v>93.356181111022266</v>
      </c>
      <c r="J154" s="574">
        <f t="shared" ref="J154:S154" si="76">+J123</f>
        <v>0</v>
      </c>
      <c r="K154" s="294">
        <f t="shared" si="76"/>
        <v>2.0745818024671614</v>
      </c>
      <c r="L154" s="294">
        <f t="shared" si="76"/>
        <v>4.1491636049343228</v>
      </c>
      <c r="M154" s="294">
        <f t="shared" si="76"/>
        <v>6.2237454074014869</v>
      </c>
      <c r="N154" s="294">
        <f t="shared" si="76"/>
        <v>8.2983272098686456</v>
      </c>
      <c r="O154" s="294">
        <f t="shared" si="76"/>
        <v>10.3729090123358</v>
      </c>
      <c r="P154" s="294">
        <f t="shared" si="76"/>
        <v>12.447490814802974</v>
      </c>
      <c r="Q154" s="294">
        <f t="shared" si="76"/>
        <v>14.522072617270137</v>
      </c>
      <c r="R154" s="294">
        <f t="shared" si="76"/>
        <v>16.596654419737291</v>
      </c>
      <c r="S154" s="294">
        <f t="shared" si="76"/>
        <v>18.671236222204445</v>
      </c>
    </row>
    <row r="155" spans="1:31" outlineLevel="1">
      <c r="C155" s="269" t="s">
        <v>537</v>
      </c>
      <c r="D155" s="211" t="s">
        <v>67</v>
      </c>
      <c r="I155" s="562">
        <f>+SUM(J155:S155)</f>
        <v>74.123550516938295</v>
      </c>
      <c r="J155" s="556">
        <f t="shared" ref="J155:S155" si="77">+J139</f>
        <v>-1.7717512507547457</v>
      </c>
      <c r="K155" s="219">
        <f t="shared" si="77"/>
        <v>0.50320657399018986</v>
      </c>
      <c r="L155" s="219">
        <f t="shared" si="77"/>
        <v>2.6961869883434408</v>
      </c>
      <c r="M155" s="219">
        <f t="shared" si="77"/>
        <v>4.6242360626225176</v>
      </c>
      <c r="N155" s="219">
        <f t="shared" si="77"/>
        <v>6.4659186085328653</v>
      </c>
      <c r="O155" s="219">
        <f t="shared" si="77"/>
        <v>8.3509224660872547</v>
      </c>
      <c r="P155" s="219">
        <f t="shared" si="77"/>
        <v>10.312763841257889</v>
      </c>
      <c r="Q155" s="219">
        <f t="shared" si="77"/>
        <v>12.327522319750203</v>
      </c>
      <c r="R155" s="219">
        <f t="shared" si="77"/>
        <v>14.321068498523212</v>
      </c>
      <c r="S155" s="219">
        <f t="shared" si="77"/>
        <v>16.293476408585466</v>
      </c>
    </row>
    <row r="156" spans="1:31" outlineLevel="1"/>
    <row r="157" spans="1:31" outlineLevel="1">
      <c r="C157" s="401" t="s">
        <v>541</v>
      </c>
      <c r="D157" s="182" t="s">
        <v>14</v>
      </c>
      <c r="I157" s="186">
        <f>+I155/I153-1</f>
        <v>-4.8540515897881891</v>
      </c>
      <c r="J157" s="563">
        <f>+J155/J153-1</f>
        <v>0</v>
      </c>
      <c r="K157" s="186">
        <f t="shared" ref="K157:S157" si="78">+K155/K153-1</f>
        <v>-1.3202332357484814</v>
      </c>
      <c r="L157" s="186">
        <f t="shared" si="78"/>
        <v>-2.8556299926350519</v>
      </c>
      <c r="M157" s="186">
        <f t="shared" si="78"/>
        <v>-3.8910341022493529</v>
      </c>
      <c r="N157" s="186">
        <f t="shared" si="78"/>
        <v>-4.5286445412990162</v>
      </c>
      <c r="O157" s="186">
        <f t="shared" si="78"/>
        <v>-5.1300583733264604</v>
      </c>
      <c r="P157" s="186">
        <f t="shared" si="78"/>
        <v>-5.8309521400442845</v>
      </c>
      <c r="Q157" s="186">
        <f t="shared" si="78"/>
        <v>-6.6173341452604504</v>
      </c>
      <c r="R157" s="186">
        <f t="shared" si="78"/>
        <v>-7.2933543247106156</v>
      </c>
      <c r="S157" s="186">
        <f t="shared" si="78"/>
        <v>-7.8524483908181608</v>
      </c>
    </row>
    <row r="158" spans="1:31" outlineLevel="1">
      <c r="C158" s="401" t="s">
        <v>561</v>
      </c>
      <c r="D158" s="182" t="s">
        <v>113</v>
      </c>
      <c r="I158" s="357">
        <f>+I155/I153</f>
        <v>-3.8540515897881891</v>
      </c>
      <c r="J158" s="206">
        <f>+J155/J153</f>
        <v>1</v>
      </c>
      <c r="K158" s="186">
        <f t="shared" ref="K158:S158" si="79">+K155/K153</f>
        <v>-0.32023323574848139</v>
      </c>
      <c r="L158" s="186">
        <f t="shared" si="79"/>
        <v>-1.8556299926350519</v>
      </c>
      <c r="M158" s="186">
        <f t="shared" si="79"/>
        <v>-2.8910341022493529</v>
      </c>
      <c r="N158" s="186">
        <f t="shared" si="79"/>
        <v>-3.5286445412990157</v>
      </c>
      <c r="O158" s="186">
        <f t="shared" si="79"/>
        <v>-4.1300583733264604</v>
      </c>
      <c r="P158" s="186">
        <f t="shared" si="79"/>
        <v>-4.8309521400442845</v>
      </c>
      <c r="Q158" s="186">
        <f t="shared" si="79"/>
        <v>-5.6173341452604504</v>
      </c>
      <c r="R158" s="186">
        <f t="shared" si="79"/>
        <v>-6.2933543247106156</v>
      </c>
      <c r="S158" s="186">
        <f t="shared" si="79"/>
        <v>-6.8524483908181608</v>
      </c>
    </row>
  </sheetData>
  <dataValidations disablePrompts="1" count="1">
    <dataValidation type="list" allowBlank="1" showInputMessage="1" showErrorMessage="1" sqref="F16" xr:uid="{14F2A8FA-CF01-41AB-942B-E29CFA6D4F2B}">
      <formula1>"1,0"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5DF-0BA7-47C5-8FA4-968B4C968A4A}">
  <sheetPr>
    <tabColor theme="0" tint="-0.249977111117893"/>
    <outlinePr summaryBelow="0"/>
  </sheetPr>
  <dimension ref="A2:XFA583"/>
  <sheetViews>
    <sheetView showGridLines="0" zoomScale="150" zoomScaleNormal="150" workbookViewId="0">
      <pane xSplit="4" ySplit="14" topLeftCell="O543" activePane="bottomRight" state="frozen"/>
      <selection pane="topRight" activeCell="E1" sqref="E1"/>
      <selection pane="bottomLeft" activeCell="A3" sqref="A3"/>
      <selection pane="bottomRight" activeCell="T157" sqref="T157"/>
    </sheetView>
  </sheetViews>
  <sheetFormatPr baseColWidth="10" defaultColWidth="0" defaultRowHeight="16" outlineLevelRow="1" outlineLevelCol="1"/>
  <cols>
    <col min="1" max="1" width="2" style="180" bestFit="1" customWidth="1"/>
    <col min="2" max="2" width="43.6640625" style="180" bestFit="1" customWidth="1"/>
    <col min="3" max="3" width="18.33203125" style="578" customWidth="1"/>
    <col min="4" max="4" width="18.1640625" style="180" bestFit="1" customWidth="1"/>
    <col min="5" max="5" width="10.1640625" style="180" bestFit="1" customWidth="1"/>
    <col min="6" max="6" width="10.6640625" style="180" bestFit="1" customWidth="1"/>
    <col min="7" max="7" width="9.6640625" style="180" bestFit="1" customWidth="1"/>
    <col min="8" max="8" width="12.1640625" style="575" hidden="1" customWidth="1" outlineLevel="1"/>
    <col min="9" max="9" width="11.1640625" style="180" hidden="1" customWidth="1" outlineLevel="1"/>
    <col min="10" max="10" width="9.6640625" style="180" hidden="1" customWidth="1" outlineLevel="1"/>
    <col min="11" max="13" width="9.1640625" style="180" hidden="1" customWidth="1" outlineLevel="1"/>
    <col min="14" max="14" width="10.5" style="576" bestFit="1" customWidth="1" collapsed="1"/>
    <col min="15" max="15" width="14" style="576" bestFit="1" customWidth="1"/>
    <col min="16" max="24" width="14" style="180" bestFit="1" customWidth="1"/>
    <col min="25" max="25" width="8.6640625" style="180" customWidth="1"/>
    <col min="26" max="16381" width="8.6640625" style="180" hidden="1"/>
    <col min="16382" max="16384" width="0" style="180" hidden="1"/>
  </cols>
  <sheetData>
    <row r="2" spans="1:24">
      <c r="A2" s="177" t="s">
        <v>10</v>
      </c>
      <c r="B2" s="178" t="s">
        <v>219</v>
      </c>
      <c r="C2" s="178"/>
      <c r="D2" s="179"/>
    </row>
    <row r="3" spans="1:24" collapsed="1">
      <c r="B3" s="181" t="s">
        <v>548</v>
      </c>
      <c r="C3" s="182" t="s">
        <v>505</v>
      </c>
      <c r="D3" s="577" t="str">
        <f>+'Value Creation Plan'!D3</f>
        <v>Inorganic Acquisitions</v>
      </c>
    </row>
    <row r="4" spans="1:24" hidden="1" outlineLevel="1">
      <c r="B4" s="184" t="str">
        <f>+Control!B4</f>
        <v>Avg. EBITDA margin</v>
      </c>
      <c r="C4" s="182" t="str">
        <f>+Control!C4</f>
        <v>%</v>
      </c>
      <c r="D4" s="185">
        <f>+'Value Creation Plan'!D4</f>
        <v>8.671174765588284E-2</v>
      </c>
    </row>
    <row r="5" spans="1:24" hidden="1" outlineLevel="1">
      <c r="B5" s="184" t="str">
        <f>+Control!B5</f>
        <v>Avg. Net margin</v>
      </c>
      <c r="C5" s="182" t="str">
        <f>+Control!C5</f>
        <v>%</v>
      </c>
      <c r="D5" s="185">
        <f>+'Value Creation Plan'!D5</f>
        <v>2.7535590762637903E-2</v>
      </c>
    </row>
    <row r="6" spans="1:24" hidden="1" outlineLevel="1">
      <c r="B6" s="184" t="str">
        <f>+Control!B6</f>
        <v>Unlevered IRR</v>
      </c>
      <c r="C6" s="182" t="str">
        <f>+Control!C6</f>
        <v>%</v>
      </c>
      <c r="D6" s="185">
        <f>+'Value Creation Plan'!D6</f>
        <v>0.27867027094547425</v>
      </c>
    </row>
    <row r="7" spans="1:24" hidden="1" outlineLevel="1">
      <c r="B7" s="184" t="str">
        <f>+Control!B7</f>
        <v>Total Cost of Debt</v>
      </c>
      <c r="C7" s="182" t="str">
        <f>+Control!C7</f>
        <v>%</v>
      </c>
      <c r="D7" s="264">
        <f>+'Value Creation Plan'!D7</f>
        <v>0.1687335662136471</v>
      </c>
    </row>
    <row r="8" spans="1:24" hidden="1" outlineLevel="1">
      <c r="B8" s="184" t="str">
        <f>+Control!B8</f>
        <v>Debt Term</v>
      </c>
      <c r="C8" s="182" t="str">
        <f>+Control!C8</f>
        <v>Years</v>
      </c>
      <c r="D8" s="265">
        <f>+'Value Creation Plan'!D8</f>
        <v>10</v>
      </c>
    </row>
    <row r="9" spans="1:24" hidden="1" outlineLevel="1">
      <c r="B9" s="184" t="str">
        <f>+Control!B9</f>
        <v>Levered IRR</v>
      </c>
      <c r="C9" s="182" t="str">
        <f>+Control!C9</f>
        <v>%</v>
      </c>
      <c r="D9" s="190">
        <f>+'Value Creation Plan'!D9</f>
        <v>0.39345196829848961</v>
      </c>
    </row>
    <row r="10" spans="1:24" hidden="1" outlineLevel="1">
      <c r="B10" s="184" t="str">
        <f>+Control!B11</f>
        <v>Debt Repayment</v>
      </c>
      <c r="C10" s="182" t="str">
        <f>+Control!C11</f>
        <v>Check</v>
      </c>
      <c r="D10" s="192">
        <f>+X130</f>
        <v>21.358342514285692</v>
      </c>
    </row>
    <row r="11" spans="1:24" hidden="1" outlineLevel="1">
      <c r="B11" s="184" t="str">
        <f>+Control!B12</f>
        <v>Master Check</v>
      </c>
      <c r="C11" s="182" t="str">
        <f>+Control!C12</f>
        <v>Check</v>
      </c>
      <c r="D11" s="266">
        <f>+'Value Creation Plan'!D10</f>
        <v>0</v>
      </c>
    </row>
    <row r="13" spans="1:24">
      <c r="B13" s="182" t="s">
        <v>100</v>
      </c>
      <c r="C13" s="238">
        <f>ROUND(D213+D260+D298,6)+ABS(D571)+ABS(E402)</f>
        <v>0</v>
      </c>
      <c r="D13" s="238">
        <f>D236+D261</f>
        <v>0</v>
      </c>
      <c r="E13" s="238"/>
      <c r="F13" s="579" t="s">
        <v>416</v>
      </c>
      <c r="G13" s="579" t="s">
        <v>416</v>
      </c>
      <c r="H13" s="580" t="s">
        <v>418</v>
      </c>
      <c r="I13" s="579" t="s">
        <v>419</v>
      </c>
      <c r="J13" s="579" t="s">
        <v>424</v>
      </c>
      <c r="K13" s="579" t="s">
        <v>425</v>
      </c>
      <c r="L13" s="579" t="s">
        <v>426</v>
      </c>
      <c r="M13" s="579" t="s">
        <v>883</v>
      </c>
      <c r="N13" s="581" t="s">
        <v>562</v>
      </c>
      <c r="O13" s="581" t="s">
        <v>417</v>
      </c>
      <c r="P13" s="579" t="s">
        <v>417</v>
      </c>
      <c r="Q13" s="579" t="s">
        <v>417</v>
      </c>
      <c r="R13" s="579" t="s">
        <v>417</v>
      </c>
      <c r="S13" s="579" t="s">
        <v>417</v>
      </c>
      <c r="T13" s="579" t="s">
        <v>417</v>
      </c>
      <c r="U13" s="579" t="s">
        <v>417</v>
      </c>
      <c r="V13" s="579" t="s">
        <v>417</v>
      </c>
      <c r="W13" s="579" t="s">
        <v>417</v>
      </c>
      <c r="X13" s="579" t="s">
        <v>417</v>
      </c>
    </row>
    <row r="14" spans="1:24">
      <c r="A14" s="582" t="s">
        <v>10</v>
      </c>
      <c r="B14" s="583" t="str">
        <f>"FIRM - "&amp;Cover!B7</f>
        <v>FIRM - YOUR PROJECT</v>
      </c>
      <c r="C14" s="584" t="s">
        <v>12</v>
      </c>
      <c r="D14" s="585"/>
      <c r="E14" s="586">
        <v>2021</v>
      </c>
      <c r="F14" s="512">
        <v>2022</v>
      </c>
      <c r="G14" s="586">
        <v>2023</v>
      </c>
      <c r="H14" s="587" t="s">
        <v>420</v>
      </c>
      <c r="I14" s="588" t="s">
        <v>421</v>
      </c>
      <c r="J14" s="589" t="s">
        <v>422</v>
      </c>
      <c r="K14" s="589" t="s">
        <v>428</v>
      </c>
      <c r="L14" s="589" t="s">
        <v>884</v>
      </c>
      <c r="M14" s="589" t="s">
        <v>427</v>
      </c>
      <c r="N14" s="590">
        <v>2023</v>
      </c>
      <c r="O14" s="591">
        <f>+N14+1</f>
        <v>2024</v>
      </c>
      <c r="P14" s="512">
        <f t="shared" ref="P14:W14" si="0">+O14+1</f>
        <v>2025</v>
      </c>
      <c r="Q14" s="512">
        <f t="shared" si="0"/>
        <v>2026</v>
      </c>
      <c r="R14" s="512">
        <f t="shared" si="0"/>
        <v>2027</v>
      </c>
      <c r="S14" s="512">
        <f t="shared" si="0"/>
        <v>2028</v>
      </c>
      <c r="T14" s="512">
        <f t="shared" si="0"/>
        <v>2029</v>
      </c>
      <c r="U14" s="512">
        <f t="shared" si="0"/>
        <v>2030</v>
      </c>
      <c r="V14" s="512">
        <f t="shared" si="0"/>
        <v>2031</v>
      </c>
      <c r="W14" s="512">
        <f t="shared" si="0"/>
        <v>2032</v>
      </c>
      <c r="X14" s="512">
        <f t="shared" ref="X14" si="1">+W14+1</f>
        <v>2033</v>
      </c>
    </row>
    <row r="15" spans="1:24">
      <c r="B15" s="184"/>
    </row>
    <row r="16" spans="1:24" ht="17" thickBot="1">
      <c r="A16" s="582" t="s">
        <v>10</v>
      </c>
      <c r="B16" s="592" t="s">
        <v>26</v>
      </c>
      <c r="C16" s="593"/>
      <c r="D16" s="594"/>
      <c r="E16" s="595"/>
      <c r="F16" s="595"/>
      <c r="G16" s="595"/>
      <c r="H16" s="596"/>
      <c r="I16" s="595"/>
      <c r="J16" s="595"/>
      <c r="K16" s="595"/>
      <c r="L16" s="595"/>
      <c r="M16" s="595"/>
      <c r="N16" s="597"/>
      <c r="O16" s="597"/>
      <c r="P16" s="595"/>
      <c r="Q16" s="595"/>
      <c r="R16" s="595"/>
      <c r="S16" s="595"/>
      <c r="T16" s="595"/>
      <c r="U16" s="595"/>
      <c r="V16" s="595"/>
      <c r="W16" s="595"/>
      <c r="X16" s="595"/>
    </row>
    <row r="17" spans="1:24" outlineLevel="1">
      <c r="B17" s="184" t="s">
        <v>27</v>
      </c>
      <c r="E17" s="598">
        <f>+DATE(E14,1,1)</f>
        <v>44197</v>
      </c>
      <c r="F17" s="598">
        <f t="shared" ref="F17" si="2">+DATE(F14,1,1)</f>
        <v>44562</v>
      </c>
      <c r="G17" s="598">
        <f t="shared" ref="G17:W17" si="3">+DATE(G14,1,1)</f>
        <v>44927</v>
      </c>
      <c r="H17" s="599">
        <f>+G17</f>
        <v>44927</v>
      </c>
      <c r="I17" s="598">
        <f t="shared" ref="I17:J17" si="4">+H17</f>
        <v>44927</v>
      </c>
      <c r="J17" s="598">
        <f t="shared" si="4"/>
        <v>44927</v>
      </c>
      <c r="K17" s="598">
        <f t="shared" ref="K17:L17" si="5">+J17</f>
        <v>44927</v>
      </c>
      <c r="L17" s="598">
        <f t="shared" si="5"/>
        <v>44927</v>
      </c>
      <c r="M17" s="598">
        <f>+I17</f>
        <v>44927</v>
      </c>
      <c r="N17" s="600">
        <f t="shared" si="3"/>
        <v>44927</v>
      </c>
      <c r="O17" s="601">
        <f t="shared" si="3"/>
        <v>45292</v>
      </c>
      <c r="P17" s="598">
        <f t="shared" si="3"/>
        <v>45658</v>
      </c>
      <c r="Q17" s="598">
        <f t="shared" si="3"/>
        <v>46023</v>
      </c>
      <c r="R17" s="598">
        <f t="shared" si="3"/>
        <v>46388</v>
      </c>
      <c r="S17" s="598">
        <f t="shared" si="3"/>
        <v>46753</v>
      </c>
      <c r="T17" s="598">
        <f t="shared" si="3"/>
        <v>47119</v>
      </c>
      <c r="U17" s="598">
        <f t="shared" si="3"/>
        <v>47484</v>
      </c>
      <c r="V17" s="598">
        <f t="shared" si="3"/>
        <v>47849</v>
      </c>
      <c r="W17" s="598">
        <f t="shared" si="3"/>
        <v>48214</v>
      </c>
      <c r="X17" s="598">
        <f t="shared" ref="X17" si="6">+DATE(X14,1,1)</f>
        <v>48580</v>
      </c>
    </row>
    <row r="18" spans="1:24" outlineLevel="1">
      <c r="B18" s="184" t="s">
        <v>28</v>
      </c>
      <c r="E18" s="598">
        <f>+EOMONTH(E17,11)</f>
        <v>44561</v>
      </c>
      <c r="F18" s="598">
        <f t="shared" ref="F18" si="7">+EOMONTH(F17,11)</f>
        <v>44926</v>
      </c>
      <c r="G18" s="598">
        <f t="shared" ref="G18:W18" si="8">+EOMONTH(G17,11)</f>
        <v>45291</v>
      </c>
      <c r="H18" s="602">
        <f t="shared" ref="H18" si="9">+EOMONTH(H17,11)</f>
        <v>45291</v>
      </c>
      <c r="I18" s="598">
        <f t="shared" ref="I18:M18" si="10">+EOMONTH(I17,11)</f>
        <v>45291</v>
      </c>
      <c r="J18" s="598">
        <f t="shared" ref="J18:K18" si="11">+EOMONTH(J17,11)</f>
        <v>45291</v>
      </c>
      <c r="K18" s="598">
        <f t="shared" si="11"/>
        <v>45291</v>
      </c>
      <c r="L18" s="598">
        <f t="shared" ref="L18" si="12">+EOMONTH(L17,11)</f>
        <v>45291</v>
      </c>
      <c r="M18" s="598">
        <f t="shared" si="10"/>
        <v>45291</v>
      </c>
      <c r="N18" s="600">
        <f t="shared" si="8"/>
        <v>45291</v>
      </c>
      <c r="O18" s="600">
        <f t="shared" si="8"/>
        <v>45657</v>
      </c>
      <c r="P18" s="598">
        <f t="shared" si="8"/>
        <v>46022</v>
      </c>
      <c r="Q18" s="598">
        <f t="shared" si="8"/>
        <v>46387</v>
      </c>
      <c r="R18" s="598">
        <f t="shared" si="8"/>
        <v>46752</v>
      </c>
      <c r="S18" s="598">
        <f t="shared" si="8"/>
        <v>47118</v>
      </c>
      <c r="T18" s="598">
        <f t="shared" si="8"/>
        <v>47483</v>
      </c>
      <c r="U18" s="598">
        <f t="shared" si="8"/>
        <v>47848</v>
      </c>
      <c r="V18" s="598">
        <f t="shared" si="8"/>
        <v>48213</v>
      </c>
      <c r="W18" s="598">
        <f t="shared" si="8"/>
        <v>48579</v>
      </c>
      <c r="X18" s="598">
        <f t="shared" ref="X18" si="13">+EOMONTH(X17,11)</f>
        <v>48944</v>
      </c>
    </row>
    <row r="19" spans="1:24" outlineLevel="1">
      <c r="B19" s="184" t="s">
        <v>29</v>
      </c>
      <c r="E19" s="361">
        <v>0</v>
      </c>
      <c r="F19" s="603">
        <v>0</v>
      </c>
      <c r="G19" s="361">
        <v>0</v>
      </c>
      <c r="H19" s="604"/>
      <c r="I19" s="361"/>
      <c r="J19" s="361"/>
      <c r="K19" s="361"/>
      <c r="L19" s="361"/>
      <c r="M19" s="361"/>
      <c r="N19" s="605">
        <v>0</v>
      </c>
      <c r="O19" s="606">
        <v>1</v>
      </c>
      <c r="P19" s="603">
        <f>+O19+1</f>
        <v>2</v>
      </c>
      <c r="Q19" s="603">
        <f t="shared" ref="Q19:W19" si="14">+P19+1</f>
        <v>3</v>
      </c>
      <c r="R19" s="603">
        <f t="shared" si="14"/>
        <v>4</v>
      </c>
      <c r="S19" s="603">
        <f t="shared" si="14"/>
        <v>5</v>
      </c>
      <c r="T19" s="603">
        <f t="shared" si="14"/>
        <v>6</v>
      </c>
      <c r="U19" s="603">
        <f t="shared" si="14"/>
        <v>7</v>
      </c>
      <c r="V19" s="603">
        <f t="shared" si="14"/>
        <v>8</v>
      </c>
      <c r="W19" s="603">
        <f t="shared" si="14"/>
        <v>9</v>
      </c>
      <c r="X19" s="603">
        <f t="shared" ref="X19" si="15">+W19+1</f>
        <v>10</v>
      </c>
    </row>
    <row r="21" spans="1:24" ht="17" thickBot="1">
      <c r="A21" s="582" t="s">
        <v>10</v>
      </c>
      <c r="B21" s="592" t="s">
        <v>25</v>
      </c>
      <c r="C21" s="593"/>
      <c r="D21" s="594"/>
      <c r="E21" s="595"/>
      <c r="F21" s="595"/>
      <c r="G21" s="595"/>
      <c r="H21" s="596"/>
      <c r="I21" s="595"/>
      <c r="J21" s="595"/>
      <c r="K21" s="595"/>
      <c r="L21" s="595"/>
      <c r="M21" s="595"/>
      <c r="N21" s="597"/>
      <c r="O21" s="597"/>
      <c r="P21" s="595"/>
      <c r="Q21" s="595"/>
      <c r="R21" s="595"/>
      <c r="S21" s="595"/>
      <c r="T21" s="595"/>
      <c r="U21" s="595"/>
      <c r="V21" s="595"/>
      <c r="W21" s="595"/>
      <c r="X21" s="595"/>
    </row>
    <row r="22" spans="1:24" outlineLevel="1">
      <c r="B22" s="184" t="str">
        <f>+Macros!B5</f>
        <v>GDP Growth, Annual Var.</v>
      </c>
      <c r="C22" s="372" t="str">
        <f>+Macros!C5</f>
        <v>%</v>
      </c>
      <c r="F22" s="607"/>
      <c r="N22" s="608">
        <f>+Macros!E5</f>
        <v>6.3E-2</v>
      </c>
      <c r="O22" s="609">
        <f>+Macros!F5</f>
        <v>5.5999999999999994E-2</v>
      </c>
      <c r="P22" s="607">
        <f>+Macros!G5</f>
        <v>4.4000000000000004E-2</v>
      </c>
      <c r="Q22" s="607">
        <f>+Macros!H5</f>
        <v>5.5E-2</v>
      </c>
      <c r="R22" s="607">
        <f>+Macros!I5</f>
        <v>5.0999999999999997E-2</v>
      </c>
      <c r="S22" s="607">
        <f>+Macros!J5</f>
        <v>0.05</v>
      </c>
      <c r="T22" s="607">
        <f>+Macros!K5</f>
        <v>0.05</v>
      </c>
      <c r="U22" s="607">
        <f>+Macros!L5</f>
        <v>0.05</v>
      </c>
      <c r="V22" s="607">
        <f>+Macros!M5</f>
        <v>0.05</v>
      </c>
      <c r="W22" s="607">
        <f>+Macros!N5</f>
        <v>0.05</v>
      </c>
      <c r="X22" s="607">
        <f>+Macros!O5</f>
        <v>0.05</v>
      </c>
    </row>
    <row r="23" spans="1:24" outlineLevel="1">
      <c r="B23" s="184" t="str">
        <f>+Macros!B6</f>
        <v>CPI, EOP</v>
      </c>
      <c r="C23" s="372" t="str">
        <f>+Macros!C6</f>
        <v>%</v>
      </c>
      <c r="F23" s="607"/>
      <c r="N23" s="608">
        <f>+Macros!E6</f>
        <v>3.4000000000000002E-2</v>
      </c>
      <c r="O23" s="608">
        <f>+Macros!F6</f>
        <v>0.03</v>
      </c>
      <c r="P23" s="607">
        <f>+Macros!G6</f>
        <v>2.4E-2</v>
      </c>
      <c r="Q23" s="607">
        <f>+Macros!H6</f>
        <v>2.3E-2</v>
      </c>
      <c r="R23" s="607">
        <f>+Macros!I6</f>
        <v>2.3E-2</v>
      </c>
      <c r="S23" s="607">
        <f>+Macros!J6</f>
        <v>2.2000000000000002E-2</v>
      </c>
      <c r="T23" s="607">
        <f>+Macros!K6</f>
        <v>0.02</v>
      </c>
      <c r="U23" s="607">
        <f>+Macros!L6</f>
        <v>0.02</v>
      </c>
      <c r="V23" s="607">
        <f>+Macros!M6</f>
        <v>0.02</v>
      </c>
      <c r="W23" s="607">
        <f>+Macros!N6</f>
        <v>0.02</v>
      </c>
      <c r="X23" s="607">
        <f>+Macros!O6</f>
        <v>0.02</v>
      </c>
    </row>
    <row r="24" spans="1:24" outlineLevel="1">
      <c r="B24" s="184" t="str">
        <f>+Macros!B7</f>
        <v>PPI, AOP</v>
      </c>
      <c r="C24" s="372" t="str">
        <f>+Macros!C7</f>
        <v>%</v>
      </c>
      <c r="F24" s="607"/>
      <c r="N24" s="608">
        <f>+Macros!E7</f>
        <v>0.02</v>
      </c>
      <c r="O24" s="608">
        <f>+Macros!F7</f>
        <v>0.02</v>
      </c>
      <c r="P24" s="607">
        <f>+Macros!G7</f>
        <v>1.8000000000000002E-2</v>
      </c>
      <c r="Q24" s="607">
        <f>+Macros!H7</f>
        <v>1.9E-2</v>
      </c>
      <c r="R24" s="607">
        <f>+Macros!I7</f>
        <v>0.02</v>
      </c>
      <c r="S24" s="607">
        <f>+Macros!J7</f>
        <v>0.02</v>
      </c>
      <c r="T24" s="607">
        <f>+Macros!K7</f>
        <v>0.02</v>
      </c>
      <c r="U24" s="607">
        <f>+Macros!L7</f>
        <v>0.02</v>
      </c>
      <c r="V24" s="607">
        <f>+Macros!M7</f>
        <v>0.02</v>
      </c>
      <c r="W24" s="607">
        <f>+Macros!N7</f>
        <v>0.02</v>
      </c>
      <c r="X24" s="607">
        <f>+Macros!O7</f>
        <v>0.02</v>
      </c>
    </row>
    <row r="25" spans="1:24" outlineLevel="1">
      <c r="B25" s="184" t="str">
        <f>+Macros!B8</f>
        <v>Federal Funds Target Rate, EOP</v>
      </c>
      <c r="C25" s="372" t="str">
        <f>+Macros!C8</f>
        <v>%</v>
      </c>
      <c r="F25" s="607"/>
      <c r="N25" s="608">
        <f>+Macros!E8</f>
        <v>5.5E-2</v>
      </c>
      <c r="O25" s="608">
        <f>+Macros!F8</f>
        <v>0.05</v>
      </c>
      <c r="P25" s="607">
        <f>+Macros!G8</f>
        <v>3.9699999999999999E-2</v>
      </c>
      <c r="Q25" s="607">
        <f>+Macros!H8</f>
        <v>3.3000000000000002E-2</v>
      </c>
      <c r="R25" s="607">
        <f>+Macros!I8</f>
        <v>2.86E-2</v>
      </c>
      <c r="S25" s="607">
        <f>+Macros!J8</f>
        <v>2.8799999999999999E-2</v>
      </c>
      <c r="T25" s="607">
        <f>+Macros!K8</f>
        <v>0.03</v>
      </c>
      <c r="U25" s="607">
        <f>+Macros!L8</f>
        <v>0.03</v>
      </c>
      <c r="V25" s="607">
        <f>+Macros!M8</f>
        <v>0.03</v>
      </c>
      <c r="W25" s="607">
        <f>+Macros!N8</f>
        <v>0.03</v>
      </c>
      <c r="X25" s="607">
        <f>+Macros!O8</f>
        <v>0.03</v>
      </c>
    </row>
    <row r="26" spans="1:24" outlineLevel="1">
      <c r="B26" s="184" t="str">
        <f>+Macros!B9</f>
        <v>SOFR, EOP</v>
      </c>
      <c r="C26" s="372" t="str">
        <f>+Macros!C9</f>
        <v>%</v>
      </c>
      <c r="F26" s="607"/>
      <c r="N26" s="608">
        <f>+Macros!E9</f>
        <v>5.3800000000000001E-2</v>
      </c>
      <c r="O26" s="608">
        <f>+Macros!F9</f>
        <v>4.9100000000000005E-2</v>
      </c>
      <c r="P26" s="607">
        <f>+Macros!G9</f>
        <v>3.7499999999999999E-2</v>
      </c>
      <c r="Q26" s="607">
        <f>+Macros!H9</f>
        <v>3.3000000000000002E-2</v>
      </c>
      <c r="R26" s="607">
        <f>+Macros!I9</f>
        <v>2.86E-2</v>
      </c>
      <c r="S26" s="607">
        <f>+Macros!J9</f>
        <v>2.8799999999999999E-2</v>
      </c>
      <c r="T26" s="607">
        <f>+Macros!K9</f>
        <v>0.03</v>
      </c>
      <c r="U26" s="607">
        <f>+Macros!L9</f>
        <v>0.03</v>
      </c>
      <c r="V26" s="607">
        <f>+Macros!M9</f>
        <v>0.03</v>
      </c>
      <c r="W26" s="607">
        <f>+Macros!N9</f>
        <v>0.03</v>
      </c>
      <c r="X26" s="607">
        <f>+Macros!O9</f>
        <v>0.03</v>
      </c>
    </row>
    <row r="27" spans="1:24" outlineLevel="1">
      <c r="B27" s="184" t="str">
        <f>+Macros!B10</f>
        <v>10-Year Bond Yield, EOP</v>
      </c>
      <c r="C27" s="372" t="str">
        <f>+Macros!C10</f>
        <v>%</v>
      </c>
      <c r="F27" s="607"/>
      <c r="N27" s="608">
        <f>+Macros!E10</f>
        <v>3.8800000000000001E-2</v>
      </c>
      <c r="O27" s="608">
        <f>+Macros!F10</f>
        <v>4.2599999999999999E-2</v>
      </c>
      <c r="P27" s="607">
        <f>+Macros!G10</f>
        <v>0.04</v>
      </c>
      <c r="Q27" s="607">
        <f>+Macros!H10</f>
        <v>3.9199999999999999E-2</v>
      </c>
      <c r="R27" s="607">
        <f>+Macros!I10</f>
        <v>3.6799999999999999E-2</v>
      </c>
      <c r="S27" s="607">
        <f>+Macros!J10</f>
        <v>3.6000000000000004E-2</v>
      </c>
      <c r="T27" s="607">
        <f>+Macros!K10</f>
        <v>3.5000000000000003E-2</v>
      </c>
      <c r="U27" s="607">
        <f>+Macros!L10</f>
        <v>3.5000000000000003E-2</v>
      </c>
      <c r="V27" s="607">
        <f>+Macros!M10</f>
        <v>3.5000000000000003E-2</v>
      </c>
      <c r="W27" s="607">
        <f>+Macros!N10</f>
        <v>3.5000000000000003E-2</v>
      </c>
      <c r="X27" s="607">
        <f>+Macros!O10</f>
        <v>3.5000000000000003E-2</v>
      </c>
    </row>
    <row r="28" spans="1:24" outlineLevel="1">
      <c r="B28" s="184" t="str">
        <f>+Macros!B15</f>
        <v>CIT</v>
      </c>
      <c r="C28" s="372" t="str">
        <f>+Macros!C15</f>
        <v>%</v>
      </c>
      <c r="F28" s="607"/>
      <c r="N28" s="608">
        <f>+Macros!E15</f>
        <v>0.26</v>
      </c>
      <c r="O28" s="608">
        <f>+Macros!F15</f>
        <v>0.26</v>
      </c>
      <c r="P28" s="607">
        <f>+Macros!G15</f>
        <v>0.26</v>
      </c>
      <c r="Q28" s="607">
        <f>+Macros!H15</f>
        <v>0.26</v>
      </c>
      <c r="R28" s="607">
        <f>+Macros!I15</f>
        <v>0.26</v>
      </c>
      <c r="S28" s="607">
        <f>+Macros!J15</f>
        <v>0.26</v>
      </c>
      <c r="T28" s="607">
        <f>+Macros!K15</f>
        <v>0.26</v>
      </c>
      <c r="U28" s="607">
        <f>+Macros!L15</f>
        <v>0.26</v>
      </c>
      <c r="V28" s="607">
        <f>+Macros!M15</f>
        <v>0.26</v>
      </c>
      <c r="W28" s="607">
        <f>+Macros!N15</f>
        <v>0.26</v>
      </c>
      <c r="X28" s="607">
        <f>+Macros!O15</f>
        <v>0.26</v>
      </c>
    </row>
    <row r="30" spans="1:24" ht="17" thickBot="1">
      <c r="A30" s="177" t="s">
        <v>10</v>
      </c>
      <c r="B30" s="610" t="s">
        <v>68</v>
      </c>
      <c r="C30" s="611"/>
      <c r="D30" s="610"/>
      <c r="E30" s="610"/>
      <c r="F30" s="610"/>
      <c r="G30" s="610"/>
      <c r="H30" s="612"/>
      <c r="I30" s="610"/>
      <c r="J30" s="610"/>
      <c r="K30" s="610"/>
      <c r="L30" s="610"/>
      <c r="M30" s="610"/>
      <c r="N30" s="613"/>
      <c r="O30" s="613"/>
      <c r="P30" s="610"/>
      <c r="Q30" s="610"/>
      <c r="R30" s="610"/>
      <c r="S30" s="610"/>
      <c r="T30" s="610"/>
      <c r="U30" s="610"/>
      <c r="V30" s="610"/>
      <c r="W30" s="610"/>
      <c r="X30" s="610"/>
    </row>
    <row r="31" spans="1:24" outlineLevel="1">
      <c r="B31" s="184" t="s">
        <v>70</v>
      </c>
      <c r="C31" s="182" t="s">
        <v>14</v>
      </c>
      <c r="F31" s="614"/>
      <c r="O31" s="615">
        <f>Control!D15</f>
        <v>0.03</v>
      </c>
      <c r="P31" s="616">
        <f>+O31</f>
        <v>0.03</v>
      </c>
      <c r="Q31" s="614">
        <f t="shared" ref="Q31:X31" si="16">+P31</f>
        <v>0.03</v>
      </c>
      <c r="R31" s="614">
        <f t="shared" si="16"/>
        <v>0.03</v>
      </c>
      <c r="S31" s="614">
        <f t="shared" si="16"/>
        <v>0.03</v>
      </c>
      <c r="T31" s="614">
        <f t="shared" si="16"/>
        <v>0.03</v>
      </c>
      <c r="U31" s="614">
        <f t="shared" si="16"/>
        <v>0.03</v>
      </c>
      <c r="V31" s="614">
        <f t="shared" si="16"/>
        <v>0.03</v>
      </c>
      <c r="W31" s="614">
        <f t="shared" si="16"/>
        <v>0.03</v>
      </c>
      <c r="X31" s="614">
        <f t="shared" si="16"/>
        <v>0.03</v>
      </c>
    </row>
    <row r="33" spans="1:24" ht="17" thickBot="1">
      <c r="A33" s="177" t="s">
        <v>10</v>
      </c>
      <c r="B33" s="610" t="s">
        <v>69</v>
      </c>
      <c r="C33" s="611"/>
      <c r="D33" s="610"/>
      <c r="E33" s="610"/>
      <c r="F33" s="610"/>
      <c r="G33" s="610"/>
      <c r="H33" s="612"/>
      <c r="I33" s="610"/>
      <c r="J33" s="610"/>
      <c r="K33" s="610"/>
      <c r="L33" s="610"/>
      <c r="M33" s="610"/>
      <c r="N33" s="613"/>
      <c r="O33" s="613"/>
      <c r="P33" s="610"/>
      <c r="Q33" s="610"/>
      <c r="R33" s="610"/>
      <c r="S33" s="610"/>
      <c r="T33" s="610"/>
      <c r="U33" s="610"/>
      <c r="V33" s="610"/>
      <c r="W33" s="610"/>
      <c r="X33" s="610"/>
    </row>
    <row r="34" spans="1:24" outlineLevel="1">
      <c r="B34" s="617" t="s">
        <v>63</v>
      </c>
      <c r="C34" s="618" t="s">
        <v>67</v>
      </c>
      <c r="D34" s="619"/>
      <c r="E34" s="619"/>
      <c r="F34" s="620"/>
      <c r="G34" s="619"/>
      <c r="H34" s="621"/>
      <c r="I34" s="619"/>
      <c r="J34" s="619"/>
      <c r="K34" s="619"/>
      <c r="L34" s="619"/>
      <c r="M34" s="619"/>
      <c r="N34" s="622">
        <f>+N174</f>
        <v>45.929656189999996</v>
      </c>
      <c r="O34" s="623">
        <f t="shared" ref="O34:X34" si="17">+N34*(1+O31)</f>
        <v>47.307545875699994</v>
      </c>
      <c r="P34" s="620">
        <f t="shared" si="17"/>
        <v>48.726772251970992</v>
      </c>
      <c r="Q34" s="620">
        <f t="shared" si="17"/>
        <v>50.188575419530125</v>
      </c>
      <c r="R34" s="620">
        <f t="shared" si="17"/>
        <v>51.694232682116031</v>
      </c>
      <c r="S34" s="620">
        <f t="shared" si="17"/>
        <v>53.245059662579514</v>
      </c>
      <c r="T34" s="620">
        <f t="shared" si="17"/>
        <v>54.842411452456901</v>
      </c>
      <c r="U34" s="620">
        <f t="shared" si="17"/>
        <v>56.487683796030609</v>
      </c>
      <c r="V34" s="620">
        <f t="shared" si="17"/>
        <v>58.182314309911526</v>
      </c>
      <c r="W34" s="620">
        <f t="shared" si="17"/>
        <v>59.92778373920887</v>
      </c>
      <c r="X34" s="620">
        <f t="shared" si="17"/>
        <v>61.725617251385138</v>
      </c>
    </row>
    <row r="35" spans="1:24" s="213" customFormat="1" outlineLevel="1">
      <c r="B35" s="269" t="s">
        <v>63</v>
      </c>
      <c r="C35" s="211" t="s">
        <v>67</v>
      </c>
      <c r="F35" s="219"/>
      <c r="H35" s="624"/>
      <c r="N35" s="625">
        <f>+N34</f>
        <v>45.929656189999996</v>
      </c>
      <c r="O35" s="626">
        <f>+O34</f>
        <v>47.307545875699994</v>
      </c>
      <c r="P35" s="219">
        <f t="shared" ref="P35:X35" si="18">+P34</f>
        <v>48.726772251970992</v>
      </c>
      <c r="Q35" s="219">
        <f t="shared" si="18"/>
        <v>50.188575419530125</v>
      </c>
      <c r="R35" s="219">
        <f t="shared" si="18"/>
        <v>51.694232682116031</v>
      </c>
      <c r="S35" s="219">
        <f t="shared" si="18"/>
        <v>53.245059662579514</v>
      </c>
      <c r="T35" s="219">
        <f t="shared" si="18"/>
        <v>54.842411452456901</v>
      </c>
      <c r="U35" s="219">
        <f t="shared" si="18"/>
        <v>56.487683796030609</v>
      </c>
      <c r="V35" s="219">
        <f t="shared" si="18"/>
        <v>58.182314309911526</v>
      </c>
      <c r="W35" s="219">
        <f t="shared" si="18"/>
        <v>59.92778373920887</v>
      </c>
      <c r="X35" s="219">
        <f t="shared" si="18"/>
        <v>61.725617251385138</v>
      </c>
    </row>
    <row r="37" spans="1:24" ht="17" thickBot="1">
      <c r="A37" s="177" t="s">
        <v>10</v>
      </c>
      <c r="B37" s="610" t="s">
        <v>71</v>
      </c>
      <c r="C37" s="611"/>
      <c r="D37" s="610"/>
      <c r="E37" s="610"/>
      <c r="F37" s="610"/>
      <c r="G37" s="610"/>
      <c r="H37" s="612"/>
      <c r="I37" s="610"/>
      <c r="J37" s="610"/>
      <c r="K37" s="610"/>
      <c r="L37" s="610"/>
      <c r="M37" s="610"/>
      <c r="N37" s="613"/>
      <c r="O37" s="613"/>
      <c r="P37" s="610"/>
      <c r="Q37" s="610"/>
      <c r="R37" s="610"/>
      <c r="S37" s="610"/>
      <c r="T37" s="610"/>
      <c r="U37" s="610"/>
      <c r="V37" s="610"/>
      <c r="W37" s="610"/>
      <c r="X37" s="610"/>
    </row>
    <row r="38" spans="1:24" outlineLevel="1">
      <c r="B38" s="184" t="s">
        <v>73</v>
      </c>
      <c r="C38" s="182" t="s">
        <v>14</v>
      </c>
      <c r="F38" s="186"/>
      <c r="N38" s="627">
        <f>(+N35+N42)/N35</f>
        <v>0.64297687964034378</v>
      </c>
      <c r="O38" s="628">
        <f>+Control!D18</f>
        <v>0.64010902882040377</v>
      </c>
      <c r="P38" s="629">
        <f>+O38</f>
        <v>0.64010902882040377</v>
      </c>
      <c r="Q38" s="186">
        <f t="shared" ref="Q38:X38" si="19">+P38</f>
        <v>0.64010902882040377</v>
      </c>
      <c r="R38" s="186">
        <f t="shared" si="19"/>
        <v>0.64010902882040377</v>
      </c>
      <c r="S38" s="186">
        <f t="shared" si="19"/>
        <v>0.64010902882040377</v>
      </c>
      <c r="T38" s="186">
        <f t="shared" si="19"/>
        <v>0.64010902882040377</v>
      </c>
      <c r="U38" s="186">
        <f t="shared" si="19"/>
        <v>0.64010902882040377</v>
      </c>
      <c r="V38" s="186">
        <f t="shared" si="19"/>
        <v>0.64010902882040377</v>
      </c>
      <c r="W38" s="186">
        <f t="shared" si="19"/>
        <v>0.64010902882040377</v>
      </c>
      <c r="X38" s="186">
        <f t="shared" si="19"/>
        <v>0.64010902882040377</v>
      </c>
    </row>
    <row r="39" spans="1:24">
      <c r="B39" s="184"/>
      <c r="C39" s="182"/>
    </row>
    <row r="40" spans="1:24" ht="17" thickBot="1">
      <c r="A40" s="177" t="s">
        <v>10</v>
      </c>
      <c r="B40" s="610" t="s">
        <v>72</v>
      </c>
      <c r="C40" s="611"/>
      <c r="D40" s="610"/>
      <c r="E40" s="610"/>
      <c r="F40" s="610"/>
      <c r="G40" s="610"/>
      <c r="H40" s="612"/>
      <c r="I40" s="610"/>
      <c r="J40" s="610"/>
      <c r="K40" s="610"/>
      <c r="L40" s="610"/>
      <c r="M40" s="610"/>
      <c r="N40" s="613"/>
      <c r="O40" s="613"/>
      <c r="P40" s="610"/>
      <c r="Q40" s="610"/>
      <c r="R40" s="610"/>
      <c r="S40" s="610"/>
      <c r="T40" s="610"/>
      <c r="U40" s="610"/>
      <c r="V40" s="610"/>
      <c r="W40" s="610"/>
      <c r="X40" s="610"/>
    </row>
    <row r="41" spans="1:24" outlineLevel="1">
      <c r="B41" s="216" t="s">
        <v>31</v>
      </c>
      <c r="C41" s="208" t="s">
        <v>67</v>
      </c>
      <c r="D41" s="292"/>
      <c r="E41" s="292"/>
      <c r="F41" s="630"/>
      <c r="G41" s="292"/>
      <c r="H41" s="631"/>
      <c r="I41" s="292"/>
      <c r="J41" s="292"/>
      <c r="K41" s="292"/>
      <c r="L41" s="292"/>
      <c r="M41" s="292"/>
      <c r="N41" s="632">
        <f>+N175</f>
        <v>-16.39794917</v>
      </c>
      <c r="O41" s="623">
        <f t="shared" ref="O41:X41" si="20">-O35*(1-O38)</f>
        <v>-17.025558629328973</v>
      </c>
      <c r="P41" s="630">
        <f t="shared" si="20"/>
        <v>-17.536325388208841</v>
      </c>
      <c r="Q41" s="630">
        <f t="shared" si="20"/>
        <v>-18.062415149855109</v>
      </c>
      <c r="R41" s="630">
        <f t="shared" si="20"/>
        <v>-18.604287604350763</v>
      </c>
      <c r="S41" s="630">
        <f t="shared" si="20"/>
        <v>-19.162416232481284</v>
      </c>
      <c r="T41" s="630">
        <f t="shared" si="20"/>
        <v>-19.737288719455723</v>
      </c>
      <c r="U41" s="630">
        <f t="shared" si="20"/>
        <v>-20.329407381039395</v>
      </c>
      <c r="V41" s="630">
        <f t="shared" si="20"/>
        <v>-20.939289602470577</v>
      </c>
      <c r="W41" s="630">
        <f t="shared" si="20"/>
        <v>-21.567468290544696</v>
      </c>
      <c r="X41" s="630">
        <f t="shared" si="20"/>
        <v>-22.214492339261035</v>
      </c>
    </row>
    <row r="42" spans="1:24" outlineLevel="1">
      <c r="B42" s="213" t="s">
        <v>31</v>
      </c>
      <c r="C42" s="211" t="s">
        <v>67</v>
      </c>
      <c r="F42" s="219"/>
      <c r="N42" s="626">
        <f>+N41</f>
        <v>-16.39794917</v>
      </c>
      <c r="O42" s="626">
        <f t="shared" ref="O42:X42" si="21">+O41</f>
        <v>-17.025558629328973</v>
      </c>
      <c r="P42" s="219">
        <f t="shared" si="21"/>
        <v>-17.536325388208841</v>
      </c>
      <c r="Q42" s="219">
        <f t="shared" si="21"/>
        <v>-18.062415149855109</v>
      </c>
      <c r="R42" s="219">
        <f t="shared" si="21"/>
        <v>-18.604287604350763</v>
      </c>
      <c r="S42" s="219">
        <f t="shared" si="21"/>
        <v>-19.162416232481284</v>
      </c>
      <c r="T42" s="219">
        <f t="shared" si="21"/>
        <v>-19.737288719455723</v>
      </c>
      <c r="U42" s="219">
        <f t="shared" si="21"/>
        <v>-20.329407381039395</v>
      </c>
      <c r="V42" s="219">
        <f t="shared" si="21"/>
        <v>-20.939289602470577</v>
      </c>
      <c r="W42" s="219">
        <f t="shared" si="21"/>
        <v>-21.567468290544696</v>
      </c>
      <c r="X42" s="219">
        <f t="shared" si="21"/>
        <v>-22.214492339261035</v>
      </c>
    </row>
    <row r="44" spans="1:24" ht="17" thickBot="1">
      <c r="A44" s="177" t="s">
        <v>10</v>
      </c>
      <c r="B44" s="610" t="s">
        <v>74</v>
      </c>
      <c r="C44" s="611"/>
      <c r="D44" s="610"/>
      <c r="E44" s="610"/>
      <c r="F44" s="610"/>
      <c r="G44" s="610"/>
      <c r="H44" s="612"/>
      <c r="I44" s="610"/>
      <c r="J44" s="610"/>
      <c r="K44" s="610"/>
      <c r="L44" s="610"/>
      <c r="M44" s="610"/>
      <c r="N44" s="613"/>
      <c r="O44" s="613"/>
      <c r="P44" s="610"/>
      <c r="Q44" s="610"/>
      <c r="R44" s="610"/>
      <c r="S44" s="610"/>
      <c r="T44" s="610"/>
      <c r="U44" s="610"/>
      <c r="V44" s="610"/>
      <c r="W44" s="610"/>
      <c r="X44" s="610"/>
    </row>
    <row r="45" spans="1:24" outlineLevel="1">
      <c r="A45" s="269"/>
      <c r="B45" s="184" t="s">
        <v>75</v>
      </c>
      <c r="C45" s="182" t="s">
        <v>14</v>
      </c>
      <c r="D45" s="269"/>
      <c r="E45" s="269"/>
      <c r="F45" s="633"/>
      <c r="G45" s="269"/>
      <c r="H45" s="634"/>
      <c r="I45" s="269"/>
      <c r="J45" s="269"/>
      <c r="K45" s="269"/>
      <c r="L45" s="269"/>
      <c r="M45" s="269"/>
      <c r="N45" s="635">
        <f>-N54/N35</f>
        <v>0.54118165041722699</v>
      </c>
      <c r="O45" s="636">
        <f>+Control!D21</f>
        <v>0.54118165041722699</v>
      </c>
      <c r="P45" s="637">
        <f>+O45</f>
        <v>0.54118165041722699</v>
      </c>
      <c r="Q45" s="633">
        <f t="shared" ref="Q45:X45" si="22">+P45</f>
        <v>0.54118165041722699</v>
      </c>
      <c r="R45" s="633">
        <f t="shared" si="22"/>
        <v>0.54118165041722699</v>
      </c>
      <c r="S45" s="633">
        <f t="shared" si="22"/>
        <v>0.54118165041722699</v>
      </c>
      <c r="T45" s="633">
        <f t="shared" si="22"/>
        <v>0.54118165041722699</v>
      </c>
      <c r="U45" s="633">
        <f t="shared" si="22"/>
        <v>0.54118165041722699</v>
      </c>
      <c r="V45" s="633">
        <f t="shared" si="22"/>
        <v>0.54118165041722699</v>
      </c>
      <c r="W45" s="633">
        <f t="shared" si="22"/>
        <v>0.54118165041722699</v>
      </c>
      <c r="X45" s="633">
        <f t="shared" si="22"/>
        <v>0.54118165041722699</v>
      </c>
    </row>
    <row r="46" spans="1:24" outlineLevel="1">
      <c r="A46" s="269"/>
      <c r="B46" s="184" t="s">
        <v>876</v>
      </c>
      <c r="C46" s="182" t="s">
        <v>67</v>
      </c>
      <c r="D46" s="269"/>
      <c r="E46" s="269"/>
      <c r="F46" s="633"/>
      <c r="G46" s="269"/>
      <c r="H46" s="634"/>
      <c r="I46" s="269"/>
      <c r="J46" s="269"/>
      <c r="K46" s="269"/>
      <c r="L46" s="269"/>
      <c r="M46" s="269"/>
      <c r="N46" s="635"/>
      <c r="O46" s="638">
        <f>+O176+O54</f>
        <v>4.680011492171019</v>
      </c>
      <c r="P46" s="639">
        <f t="shared" ref="P46:X46" si="23">+P176+P54</f>
        <v>25.303900759189077</v>
      </c>
      <c r="Q46" s="639">
        <f t="shared" si="23"/>
        <v>45.932002036550074</v>
      </c>
      <c r="R46" s="639">
        <f t="shared" si="23"/>
        <v>66.564441684564315</v>
      </c>
      <c r="S46" s="639">
        <f t="shared" si="23"/>
        <v>87.201349854351406</v>
      </c>
      <c r="T46" s="639">
        <f t="shared" si="23"/>
        <v>107.84286060156452</v>
      </c>
      <c r="U46" s="639">
        <f t="shared" si="23"/>
        <v>128.48911200352643</v>
      </c>
      <c r="V46" s="639">
        <f t="shared" si="23"/>
        <v>149.14024627987965</v>
      </c>
      <c r="W46" s="639">
        <f t="shared" si="23"/>
        <v>169.79640991685579</v>
      </c>
      <c r="X46" s="639">
        <f t="shared" si="23"/>
        <v>190.45775379527373</v>
      </c>
    </row>
    <row r="47" spans="1:24" outlineLevel="1">
      <c r="A47" s="269"/>
      <c r="B47" s="184" t="s">
        <v>886</v>
      </c>
      <c r="C47" s="182" t="s">
        <v>67</v>
      </c>
      <c r="D47" s="269"/>
      <c r="E47" s="269"/>
      <c r="F47" s="633"/>
      <c r="G47" s="269"/>
      <c r="H47" s="634"/>
      <c r="I47" s="269"/>
      <c r="J47" s="269"/>
      <c r="K47" s="269"/>
      <c r="L47" s="269"/>
      <c r="M47" s="269"/>
      <c r="N47" s="635"/>
      <c r="O47" s="638">
        <f>+Control!D122</f>
        <v>0.95560566219999854</v>
      </c>
      <c r="P47" s="639">
        <f>+O47</f>
        <v>0.95560566219999854</v>
      </c>
      <c r="Q47" s="639">
        <f t="shared" ref="Q47:X47" si="24">+P47</f>
        <v>0.95560566219999854</v>
      </c>
      <c r="R47" s="639">
        <f t="shared" si="24"/>
        <v>0.95560566219999854</v>
      </c>
      <c r="S47" s="639">
        <f t="shared" si="24"/>
        <v>0.95560566219999854</v>
      </c>
      <c r="T47" s="639">
        <f t="shared" si="24"/>
        <v>0.95560566219999854</v>
      </c>
      <c r="U47" s="639">
        <f t="shared" si="24"/>
        <v>0.95560566219999854</v>
      </c>
      <c r="V47" s="639">
        <f t="shared" si="24"/>
        <v>0.95560566219999854</v>
      </c>
      <c r="W47" s="639">
        <f t="shared" si="24"/>
        <v>0.95560566219999854</v>
      </c>
      <c r="X47" s="639">
        <f t="shared" si="24"/>
        <v>0.95560566219999854</v>
      </c>
    </row>
    <row r="48" spans="1:24" outlineLevel="1">
      <c r="A48" s="269"/>
      <c r="B48" s="184" t="str">
        <f>+Control!B123</f>
        <v>Management Fee</v>
      </c>
      <c r="C48" s="182" t="s">
        <v>875</v>
      </c>
      <c r="D48" s="269"/>
      <c r="E48" s="269"/>
      <c r="F48" s="640"/>
      <c r="G48" s="269"/>
      <c r="H48" s="634"/>
      <c r="I48" s="269"/>
      <c r="J48" s="269"/>
      <c r="K48" s="269"/>
      <c r="L48" s="269"/>
      <c r="M48" s="269"/>
      <c r="N48" s="641"/>
      <c r="O48" s="636">
        <f>+Control!D123</f>
        <v>0.05</v>
      </c>
      <c r="P48" s="637">
        <f>+O48</f>
        <v>0.05</v>
      </c>
      <c r="Q48" s="633">
        <f t="shared" ref="Q48" si="25">+P48</f>
        <v>0.05</v>
      </c>
      <c r="R48" s="633">
        <f t="shared" ref="R48:R50" si="26">+Q48</f>
        <v>0.05</v>
      </c>
      <c r="S48" s="633">
        <f t="shared" ref="S48:S50" si="27">+R48</f>
        <v>0.05</v>
      </c>
      <c r="T48" s="633">
        <f t="shared" ref="T48:T50" si="28">+S48</f>
        <v>0.05</v>
      </c>
      <c r="U48" s="633">
        <f t="shared" ref="U48:U50" si="29">+T48</f>
        <v>0.05</v>
      </c>
      <c r="V48" s="633">
        <f t="shared" ref="V48:V50" si="30">+U48</f>
        <v>0.05</v>
      </c>
      <c r="W48" s="633">
        <f t="shared" ref="W48:W50" si="31">+V48</f>
        <v>0.05</v>
      </c>
      <c r="X48" s="633">
        <f t="shared" ref="X48:X50" si="32">+W48</f>
        <v>0.05</v>
      </c>
    </row>
    <row r="49" spans="1:24" outlineLevel="1">
      <c r="A49" s="269"/>
      <c r="B49" s="184" t="s">
        <v>878</v>
      </c>
      <c r="C49" s="182" t="s">
        <v>67</v>
      </c>
      <c r="D49" s="269"/>
      <c r="E49" s="269"/>
      <c r="F49" s="640"/>
      <c r="G49" s="269"/>
      <c r="H49" s="634"/>
      <c r="I49" s="269"/>
      <c r="J49" s="269"/>
      <c r="K49" s="269"/>
      <c r="L49" s="269"/>
      <c r="M49" s="269"/>
      <c r="N49" s="641"/>
      <c r="O49" s="641">
        <f>+Control!D124</f>
        <v>0.25</v>
      </c>
      <c r="P49" s="642">
        <f t="shared" ref="P49:P50" si="33">+O49</f>
        <v>0.25</v>
      </c>
      <c r="Q49" s="643">
        <f>+P49</f>
        <v>0.25</v>
      </c>
      <c r="R49" s="643">
        <f t="shared" si="26"/>
        <v>0.25</v>
      </c>
      <c r="S49" s="643">
        <f t="shared" si="27"/>
        <v>0.25</v>
      </c>
      <c r="T49" s="643">
        <f t="shared" si="28"/>
        <v>0.25</v>
      </c>
      <c r="U49" s="643">
        <f t="shared" si="29"/>
        <v>0.25</v>
      </c>
      <c r="V49" s="643">
        <f t="shared" si="30"/>
        <v>0.25</v>
      </c>
      <c r="W49" s="643">
        <f t="shared" si="31"/>
        <v>0.25</v>
      </c>
      <c r="X49" s="643">
        <f t="shared" si="32"/>
        <v>0.25</v>
      </c>
    </row>
    <row r="50" spans="1:24" outlineLevel="1">
      <c r="A50" s="269"/>
      <c r="B50" s="184" t="s">
        <v>879</v>
      </c>
      <c r="C50" s="182" t="s">
        <v>67</v>
      </c>
      <c r="D50" s="269"/>
      <c r="E50" s="269"/>
      <c r="F50" s="640"/>
      <c r="G50" s="269"/>
      <c r="H50" s="634"/>
      <c r="I50" s="269"/>
      <c r="J50" s="269"/>
      <c r="K50" s="269"/>
      <c r="L50" s="269"/>
      <c r="M50" s="269"/>
      <c r="N50" s="641"/>
      <c r="O50" s="641">
        <f>+Control!D126</f>
        <v>0.5</v>
      </c>
      <c r="P50" s="642">
        <f t="shared" si="33"/>
        <v>0.5</v>
      </c>
      <c r="Q50" s="643">
        <f>+P50</f>
        <v>0.5</v>
      </c>
      <c r="R50" s="643">
        <f t="shared" si="26"/>
        <v>0.5</v>
      </c>
      <c r="S50" s="643">
        <f t="shared" si="27"/>
        <v>0.5</v>
      </c>
      <c r="T50" s="643">
        <f t="shared" si="28"/>
        <v>0.5</v>
      </c>
      <c r="U50" s="643">
        <f t="shared" si="29"/>
        <v>0.5</v>
      </c>
      <c r="V50" s="643">
        <f t="shared" si="30"/>
        <v>0.5</v>
      </c>
      <c r="W50" s="643">
        <f t="shared" si="31"/>
        <v>0.5</v>
      </c>
      <c r="X50" s="643">
        <f t="shared" si="32"/>
        <v>0.5</v>
      </c>
    </row>
    <row r="51" spans="1:24" outlineLevel="1">
      <c r="A51" s="269"/>
      <c r="B51" s="184" t="str">
        <f>+B48</f>
        <v>Management Fee</v>
      </c>
      <c r="C51" s="182" t="s">
        <v>67</v>
      </c>
      <c r="D51" s="269"/>
      <c r="E51" s="269"/>
      <c r="F51" s="640"/>
      <c r="G51" s="269"/>
      <c r="H51" s="634"/>
      <c r="I51" s="269"/>
      <c r="J51" s="269"/>
      <c r="K51" s="269"/>
      <c r="L51" s="269"/>
      <c r="M51" s="269"/>
      <c r="N51" s="641"/>
      <c r="O51" s="644">
        <f>MAX(O49,MIN(O46*O48,O50))</f>
        <v>0.25</v>
      </c>
      <c r="P51" s="640">
        <f t="shared" ref="P51:X51" si="34">MAX(P49,MIN(P46*P48,P50))</f>
        <v>0.5</v>
      </c>
      <c r="Q51" s="640">
        <f t="shared" si="34"/>
        <v>0.5</v>
      </c>
      <c r="R51" s="640">
        <f t="shared" si="34"/>
        <v>0.5</v>
      </c>
      <c r="S51" s="640">
        <f t="shared" si="34"/>
        <v>0.5</v>
      </c>
      <c r="T51" s="640">
        <f t="shared" si="34"/>
        <v>0.5</v>
      </c>
      <c r="U51" s="640">
        <f t="shared" si="34"/>
        <v>0.5</v>
      </c>
      <c r="V51" s="640">
        <f t="shared" si="34"/>
        <v>0.5</v>
      </c>
      <c r="W51" s="640">
        <f t="shared" si="34"/>
        <v>0.5</v>
      </c>
      <c r="X51" s="640">
        <f t="shared" si="34"/>
        <v>0.5</v>
      </c>
    </row>
    <row r="52" spans="1:24">
      <c r="A52" s="269"/>
      <c r="B52" s="184"/>
      <c r="C52" s="182"/>
      <c r="D52" s="269"/>
      <c r="E52" s="269"/>
      <c r="F52" s="640"/>
      <c r="G52" s="269"/>
      <c r="H52" s="634"/>
      <c r="I52" s="269"/>
      <c r="J52" s="269"/>
      <c r="K52" s="269"/>
      <c r="L52" s="269"/>
      <c r="M52" s="269"/>
      <c r="N52" s="641"/>
      <c r="O52" s="645"/>
      <c r="P52" s="640"/>
      <c r="Q52" s="640"/>
      <c r="R52" s="640"/>
      <c r="S52" s="640"/>
      <c r="T52" s="640"/>
      <c r="U52" s="640"/>
      <c r="V52" s="640"/>
      <c r="W52" s="640"/>
      <c r="X52" s="640"/>
    </row>
    <row r="53" spans="1:24" ht="17" thickBot="1">
      <c r="A53" s="177" t="s">
        <v>10</v>
      </c>
      <c r="B53" s="610" t="s">
        <v>32</v>
      </c>
      <c r="C53" s="611"/>
      <c r="D53" s="610"/>
      <c r="E53" s="610"/>
      <c r="F53" s="610"/>
      <c r="G53" s="610"/>
      <c r="H53" s="612"/>
      <c r="I53" s="610"/>
      <c r="J53" s="610"/>
      <c r="K53" s="610"/>
      <c r="L53" s="610"/>
      <c r="M53" s="610"/>
      <c r="N53" s="613"/>
      <c r="O53" s="613"/>
      <c r="P53" s="610"/>
      <c r="Q53" s="610"/>
      <c r="R53" s="610"/>
      <c r="S53" s="610"/>
      <c r="T53" s="610"/>
      <c r="U53" s="610"/>
      <c r="V53" s="610"/>
      <c r="W53" s="610"/>
      <c r="X53" s="610"/>
    </row>
    <row r="54" spans="1:24" outlineLevel="1">
      <c r="B54" s="184" t="str">
        <f>+B57</f>
        <v>SG&amp;A</v>
      </c>
      <c r="C54" s="182" t="s">
        <v>67</v>
      </c>
      <c r="F54" s="201"/>
      <c r="H54" s="180"/>
      <c r="N54" s="646">
        <f>+N177</f>
        <v>-24.856287140000003</v>
      </c>
      <c r="O54" s="647">
        <f t="shared" ref="O54:X54" si="35">+-O45*O35</f>
        <v>-25.601975754200001</v>
      </c>
      <c r="P54" s="201">
        <f t="shared" si="35"/>
        <v>-26.370035026826002</v>
      </c>
      <c r="Q54" s="201">
        <f t="shared" si="35"/>
        <v>-27.161136077630783</v>
      </c>
      <c r="R54" s="201">
        <f t="shared" si="35"/>
        <v>-27.975970159959708</v>
      </c>
      <c r="S54" s="201">
        <f t="shared" si="35"/>
        <v>-28.815249264758499</v>
      </c>
      <c r="T54" s="201">
        <f t="shared" si="35"/>
        <v>-29.679706742701256</v>
      </c>
      <c r="U54" s="201">
        <f t="shared" si="35"/>
        <v>-30.570097944982294</v>
      </c>
      <c r="V54" s="201">
        <f t="shared" si="35"/>
        <v>-31.487200883331763</v>
      </c>
      <c r="W54" s="201">
        <f t="shared" si="35"/>
        <v>-32.431816909831717</v>
      </c>
      <c r="X54" s="201">
        <f t="shared" si="35"/>
        <v>-33.404771417126668</v>
      </c>
    </row>
    <row r="55" spans="1:24" outlineLevel="1">
      <c r="B55" s="184" t="str">
        <f>+B47</f>
        <v>Closing Fee</v>
      </c>
      <c r="C55" s="182" t="str">
        <f>+C47</f>
        <v>USD M</v>
      </c>
      <c r="F55" s="201"/>
      <c r="H55" s="180"/>
      <c r="N55" s="646"/>
      <c r="O55" s="647">
        <f>-O47</f>
        <v>-0.95560566219999854</v>
      </c>
      <c r="P55" s="201"/>
      <c r="Q55" s="201"/>
      <c r="R55" s="201"/>
      <c r="S55" s="201"/>
      <c r="T55" s="201"/>
      <c r="U55" s="201"/>
      <c r="V55" s="201"/>
      <c r="W55" s="201"/>
      <c r="X55" s="201"/>
    </row>
    <row r="56" spans="1:24" outlineLevel="1">
      <c r="B56" s="216" t="str">
        <f>+B48</f>
        <v>Management Fee</v>
      </c>
      <c r="C56" s="208" t="s">
        <v>67</v>
      </c>
      <c r="D56" s="292"/>
      <c r="E56" s="292"/>
      <c r="F56" s="294"/>
      <c r="G56" s="292"/>
      <c r="H56" s="631"/>
      <c r="I56" s="292"/>
      <c r="J56" s="292"/>
      <c r="K56" s="292"/>
      <c r="L56" s="292"/>
      <c r="M56" s="292"/>
      <c r="N56" s="632"/>
      <c r="O56" s="648">
        <f>-O51</f>
        <v>-0.25</v>
      </c>
      <c r="P56" s="504">
        <f t="shared" ref="P56:X56" si="36">-P51</f>
        <v>-0.5</v>
      </c>
      <c r="Q56" s="504">
        <f t="shared" si="36"/>
        <v>-0.5</v>
      </c>
      <c r="R56" s="504">
        <f t="shared" si="36"/>
        <v>-0.5</v>
      </c>
      <c r="S56" s="504">
        <f t="shared" si="36"/>
        <v>-0.5</v>
      </c>
      <c r="T56" s="504">
        <f t="shared" si="36"/>
        <v>-0.5</v>
      </c>
      <c r="U56" s="504">
        <f t="shared" si="36"/>
        <v>-0.5</v>
      </c>
      <c r="V56" s="504">
        <f t="shared" si="36"/>
        <v>-0.5</v>
      </c>
      <c r="W56" s="504">
        <f t="shared" si="36"/>
        <v>-0.5</v>
      </c>
      <c r="X56" s="504">
        <f t="shared" si="36"/>
        <v>-0.5</v>
      </c>
    </row>
    <row r="57" spans="1:24" outlineLevel="1">
      <c r="B57" s="269" t="s">
        <v>32</v>
      </c>
      <c r="C57" s="182" t="s">
        <v>67</v>
      </c>
      <c r="F57" s="219"/>
      <c r="N57" s="626">
        <f t="shared" ref="N57" si="37">+SUM(N54:N54)</f>
        <v>-24.856287140000003</v>
      </c>
      <c r="O57" s="626">
        <f>+SUM(O54:O56)</f>
        <v>-26.807581416400001</v>
      </c>
      <c r="P57" s="219">
        <f t="shared" ref="P57:X57" si="38">+SUM(P54:P56)</f>
        <v>-26.870035026826002</v>
      </c>
      <c r="Q57" s="219">
        <f t="shared" si="38"/>
        <v>-27.661136077630783</v>
      </c>
      <c r="R57" s="219">
        <f t="shared" si="38"/>
        <v>-28.475970159959708</v>
      </c>
      <c r="S57" s="219">
        <f t="shared" si="38"/>
        <v>-29.315249264758499</v>
      </c>
      <c r="T57" s="219">
        <f t="shared" si="38"/>
        <v>-30.179706742701256</v>
      </c>
      <c r="U57" s="219">
        <f t="shared" si="38"/>
        <v>-31.070097944982294</v>
      </c>
      <c r="V57" s="219">
        <f t="shared" si="38"/>
        <v>-31.987200883331763</v>
      </c>
      <c r="W57" s="219">
        <f t="shared" si="38"/>
        <v>-32.931816909831717</v>
      </c>
      <c r="X57" s="219">
        <f t="shared" si="38"/>
        <v>-33.904771417126668</v>
      </c>
    </row>
    <row r="58" spans="1:24">
      <c r="B58" s="184"/>
      <c r="C58" s="182"/>
    </row>
    <row r="59" spans="1:24" ht="17" thickBot="1">
      <c r="A59" s="177" t="s">
        <v>10</v>
      </c>
      <c r="B59" s="610" t="s">
        <v>76</v>
      </c>
      <c r="C59" s="611"/>
      <c r="D59" s="610"/>
      <c r="E59" s="610"/>
      <c r="F59" s="610"/>
      <c r="G59" s="610"/>
      <c r="H59" s="612"/>
      <c r="I59" s="610"/>
      <c r="J59" s="610"/>
      <c r="K59" s="610"/>
      <c r="L59" s="610"/>
      <c r="M59" s="610"/>
      <c r="N59" s="613"/>
      <c r="O59" s="613"/>
      <c r="P59" s="610"/>
      <c r="Q59" s="610"/>
      <c r="R59" s="610"/>
      <c r="S59" s="610"/>
      <c r="T59" s="610"/>
      <c r="U59" s="610"/>
      <c r="V59" s="610"/>
      <c r="W59" s="610"/>
      <c r="X59" s="610"/>
    </row>
    <row r="60" spans="1:24" outlineLevel="1">
      <c r="B60" s="184" t="s">
        <v>78</v>
      </c>
      <c r="C60" s="182" t="s">
        <v>14</v>
      </c>
      <c r="F60" s="237"/>
      <c r="O60" s="628">
        <f>Control!D24</f>
        <v>0.01</v>
      </c>
      <c r="P60" s="629">
        <f>+O60</f>
        <v>0.01</v>
      </c>
      <c r="Q60" s="224">
        <f t="shared" ref="Q60:X60" si="39">+P60</f>
        <v>0.01</v>
      </c>
      <c r="R60" s="224">
        <f t="shared" si="39"/>
        <v>0.01</v>
      </c>
      <c r="S60" s="224">
        <f t="shared" si="39"/>
        <v>0.01</v>
      </c>
      <c r="T60" s="224">
        <f t="shared" si="39"/>
        <v>0.01</v>
      </c>
      <c r="U60" s="224">
        <f t="shared" si="39"/>
        <v>0.01</v>
      </c>
      <c r="V60" s="224">
        <f t="shared" si="39"/>
        <v>0.01</v>
      </c>
      <c r="W60" s="224">
        <f t="shared" si="39"/>
        <v>0.01</v>
      </c>
      <c r="X60" s="224">
        <f t="shared" si="39"/>
        <v>0.01</v>
      </c>
    </row>
    <row r="61" spans="1:24">
      <c r="B61" s="184"/>
      <c r="C61" s="182"/>
    </row>
    <row r="62" spans="1:24" ht="17" thickBot="1">
      <c r="A62" s="177" t="s">
        <v>10</v>
      </c>
      <c r="B62" s="610" t="s">
        <v>77</v>
      </c>
      <c r="C62" s="611"/>
      <c r="D62" s="610"/>
      <c r="E62" s="610"/>
      <c r="F62" s="610"/>
      <c r="G62" s="610"/>
      <c r="H62" s="612"/>
      <c r="I62" s="610"/>
      <c r="J62" s="610"/>
      <c r="K62" s="610"/>
      <c r="L62" s="610"/>
      <c r="M62" s="610"/>
      <c r="N62" s="613"/>
      <c r="O62" s="613"/>
      <c r="P62" s="610"/>
      <c r="Q62" s="610"/>
      <c r="R62" s="610"/>
      <c r="S62" s="610"/>
      <c r="T62" s="610"/>
      <c r="U62" s="610"/>
      <c r="V62" s="610"/>
      <c r="W62" s="610"/>
      <c r="X62" s="610"/>
    </row>
    <row r="63" spans="1:24" outlineLevel="1">
      <c r="B63" s="216" t="s">
        <v>85</v>
      </c>
      <c r="C63" s="208" t="s">
        <v>67</v>
      </c>
      <c r="D63" s="292"/>
      <c r="E63" s="292"/>
      <c r="F63" s="504"/>
      <c r="G63" s="292"/>
      <c r="H63" s="631"/>
      <c r="I63" s="292"/>
      <c r="J63" s="292"/>
      <c r="K63" s="292"/>
      <c r="L63" s="292"/>
      <c r="M63" s="292"/>
      <c r="N63" s="649"/>
      <c r="O63" s="648">
        <f>+O60*O174</f>
        <v>0.47307545875699997</v>
      </c>
      <c r="P63" s="504">
        <f t="shared" ref="P63:X63" si="40">+P60*P174</f>
        <v>0.80726772251971002</v>
      </c>
      <c r="Q63" s="504">
        <f t="shared" si="40"/>
        <v>1.1418857541953014</v>
      </c>
      <c r="R63" s="504">
        <f t="shared" si="40"/>
        <v>1.4769423268211603</v>
      </c>
      <c r="S63" s="504">
        <f t="shared" si="40"/>
        <v>1.8124505966257951</v>
      </c>
      <c r="T63" s="504">
        <f t="shared" si="40"/>
        <v>2.1484241145245693</v>
      </c>
      <c r="U63" s="504">
        <f t="shared" si="40"/>
        <v>2.4848768379603063</v>
      </c>
      <c r="V63" s="504">
        <f t="shared" si="40"/>
        <v>2.8218231430991154</v>
      </c>
      <c r="W63" s="504">
        <f t="shared" si="40"/>
        <v>3.1592778373920885</v>
      </c>
      <c r="X63" s="504">
        <f t="shared" si="40"/>
        <v>3.4972561725138513</v>
      </c>
    </row>
    <row r="64" spans="1:24" outlineLevel="1">
      <c r="B64" s="269" t="s">
        <v>79</v>
      </c>
      <c r="C64" s="211" t="s">
        <v>67</v>
      </c>
      <c r="F64" s="219"/>
      <c r="O64" s="626">
        <f>+O63</f>
        <v>0.47307545875699997</v>
      </c>
      <c r="P64" s="219">
        <f t="shared" ref="P64:X64" si="41">+P63</f>
        <v>0.80726772251971002</v>
      </c>
      <c r="Q64" s="219">
        <f t="shared" si="41"/>
        <v>1.1418857541953014</v>
      </c>
      <c r="R64" s="219">
        <f t="shared" si="41"/>
        <v>1.4769423268211603</v>
      </c>
      <c r="S64" s="219">
        <f t="shared" si="41"/>
        <v>1.8124505966257951</v>
      </c>
      <c r="T64" s="219">
        <f t="shared" si="41"/>
        <v>2.1484241145245693</v>
      </c>
      <c r="U64" s="219">
        <f t="shared" si="41"/>
        <v>2.4848768379603063</v>
      </c>
      <c r="V64" s="219">
        <f t="shared" si="41"/>
        <v>2.8218231430991154</v>
      </c>
      <c r="W64" s="219">
        <f t="shared" si="41"/>
        <v>3.1592778373920885</v>
      </c>
      <c r="X64" s="219">
        <f t="shared" si="41"/>
        <v>3.4972561725138513</v>
      </c>
    </row>
    <row r="65" spans="1:24">
      <c r="B65" s="184"/>
      <c r="C65" s="182"/>
    </row>
    <row r="66" spans="1:24" ht="17" thickBot="1">
      <c r="A66" s="177" t="s">
        <v>10</v>
      </c>
      <c r="B66" s="610" t="s">
        <v>80</v>
      </c>
      <c r="C66" s="611"/>
      <c r="D66" s="610"/>
      <c r="E66" s="610"/>
      <c r="F66" s="610"/>
      <c r="G66" s="610"/>
      <c r="H66" s="612"/>
      <c r="I66" s="610"/>
      <c r="J66" s="610"/>
      <c r="K66" s="610"/>
      <c r="L66" s="610"/>
      <c r="M66" s="610"/>
      <c r="N66" s="613"/>
      <c r="O66" s="613"/>
      <c r="P66" s="610"/>
      <c r="Q66" s="610"/>
      <c r="R66" s="610"/>
      <c r="S66" s="610"/>
      <c r="T66" s="610"/>
      <c r="U66" s="610"/>
      <c r="V66" s="610"/>
      <c r="W66" s="610"/>
      <c r="X66" s="610"/>
    </row>
    <row r="67" spans="1:24" outlineLevel="1">
      <c r="B67" s="184" t="s">
        <v>82</v>
      </c>
      <c r="C67" s="182" t="s">
        <v>14</v>
      </c>
      <c r="F67" s="186"/>
      <c r="N67" s="627"/>
      <c r="O67" s="628">
        <f>+Control!D27</f>
        <v>0.1</v>
      </c>
      <c r="P67" s="629">
        <f>+O67</f>
        <v>0.1</v>
      </c>
      <c r="Q67" s="186">
        <f t="shared" ref="Q67" si="42">+P67</f>
        <v>0.1</v>
      </c>
      <c r="R67" s="186">
        <f t="shared" ref="R67" si="43">+Q67</f>
        <v>0.1</v>
      </c>
      <c r="S67" s="186">
        <f t="shared" ref="S67" si="44">+R67</f>
        <v>0.1</v>
      </c>
      <c r="T67" s="186">
        <f t="shared" ref="T67" si="45">+S67</f>
        <v>0.1</v>
      </c>
      <c r="U67" s="186">
        <f t="shared" ref="U67" si="46">+T67</f>
        <v>0.1</v>
      </c>
      <c r="V67" s="186">
        <f t="shared" ref="V67" si="47">+U67</f>
        <v>0.1</v>
      </c>
      <c r="W67" s="186">
        <f t="shared" ref="W67" si="48">+V67</f>
        <v>0.1</v>
      </c>
      <c r="X67" s="186">
        <f t="shared" ref="X67" si="49">+W67</f>
        <v>0.1</v>
      </c>
    </row>
    <row r="68" spans="1:24" outlineLevel="1">
      <c r="B68" s="184" t="s">
        <v>83</v>
      </c>
      <c r="C68" s="182" t="s">
        <v>14</v>
      </c>
      <c r="F68" s="186"/>
      <c r="O68" s="628">
        <f>+Control!D28</f>
        <v>0.1</v>
      </c>
      <c r="P68" s="629">
        <f>+O68</f>
        <v>0.1</v>
      </c>
      <c r="Q68" s="186">
        <f t="shared" ref="Q68:X68" si="50">+P68</f>
        <v>0.1</v>
      </c>
      <c r="R68" s="186">
        <f t="shared" si="50"/>
        <v>0.1</v>
      </c>
      <c r="S68" s="186">
        <f t="shared" si="50"/>
        <v>0.1</v>
      </c>
      <c r="T68" s="186">
        <f t="shared" si="50"/>
        <v>0.1</v>
      </c>
      <c r="U68" s="186">
        <f t="shared" si="50"/>
        <v>0.1</v>
      </c>
      <c r="V68" s="186">
        <f t="shared" si="50"/>
        <v>0.1</v>
      </c>
      <c r="W68" s="186">
        <f t="shared" si="50"/>
        <v>0.1</v>
      </c>
      <c r="X68" s="186">
        <f t="shared" si="50"/>
        <v>0.1</v>
      </c>
    </row>
    <row r="69" spans="1:24">
      <c r="B69" s="184"/>
      <c r="C69" s="182"/>
      <c r="O69" s="650"/>
    </row>
    <row r="70" spans="1:24" ht="17" thickBot="1">
      <c r="A70" s="177" t="s">
        <v>10</v>
      </c>
      <c r="B70" s="610" t="s">
        <v>81</v>
      </c>
      <c r="C70" s="611"/>
      <c r="D70" s="610"/>
      <c r="E70" s="610"/>
      <c r="F70" s="610"/>
      <c r="G70" s="610"/>
      <c r="H70" s="612"/>
      <c r="I70" s="610"/>
      <c r="J70" s="610"/>
      <c r="K70" s="610"/>
      <c r="L70" s="610"/>
      <c r="M70" s="610"/>
      <c r="N70" s="613"/>
      <c r="O70" s="613"/>
      <c r="P70" s="610"/>
      <c r="Q70" s="610"/>
      <c r="R70" s="610"/>
      <c r="S70" s="610"/>
      <c r="T70" s="610"/>
      <c r="U70" s="610"/>
      <c r="V70" s="610"/>
      <c r="W70" s="610"/>
      <c r="X70" s="610"/>
    </row>
    <row r="71" spans="1:24" outlineLevel="1">
      <c r="B71" s="184" t="s">
        <v>209</v>
      </c>
      <c r="C71" s="182" t="s">
        <v>67</v>
      </c>
      <c r="F71" s="220"/>
      <c r="N71" s="651">
        <f>+N179</f>
        <v>-0.59278354</v>
      </c>
      <c r="O71" s="652">
        <f>+N76*-O67</f>
        <v>-0.33486041600000005</v>
      </c>
      <c r="P71" s="220">
        <f>+O76*-P67</f>
        <v>-0.33486041600000005</v>
      </c>
      <c r="Q71" s="220">
        <f t="shared" ref="Q71:X72" si="51">+P76*-Q67</f>
        <v>-0.33486041600000005</v>
      </c>
      <c r="R71" s="220">
        <f t="shared" si="51"/>
        <v>-0.33486041600000005</v>
      </c>
      <c r="S71" s="220">
        <f t="shared" si="51"/>
        <v>-0.33486041600000005</v>
      </c>
      <c r="T71" s="220">
        <f t="shared" si="51"/>
        <v>-0.33486041600000005</v>
      </c>
      <c r="U71" s="220">
        <f t="shared" si="51"/>
        <v>-0.33486041600000005</v>
      </c>
      <c r="V71" s="220">
        <f t="shared" si="51"/>
        <v>-0.33486041600000005</v>
      </c>
      <c r="W71" s="220">
        <f t="shared" si="51"/>
        <v>-0.33486041600000005</v>
      </c>
      <c r="X71" s="220">
        <f t="shared" si="51"/>
        <v>-0.33486041600000005</v>
      </c>
    </row>
    <row r="72" spans="1:24" outlineLevel="1">
      <c r="B72" s="216" t="s">
        <v>210</v>
      </c>
      <c r="C72" s="208" t="s">
        <v>67</v>
      </c>
      <c r="D72" s="292"/>
      <c r="E72" s="292"/>
      <c r="F72" s="294"/>
      <c r="G72" s="292"/>
      <c r="H72" s="631"/>
      <c r="I72" s="292"/>
      <c r="J72" s="292"/>
      <c r="K72" s="292"/>
      <c r="L72" s="292"/>
      <c r="M72" s="292"/>
      <c r="N72" s="649"/>
      <c r="O72" s="653">
        <f>+N77*-O68</f>
        <v>0</v>
      </c>
      <c r="P72" s="294">
        <f>+O77*-P68</f>
        <v>-4.7307545875699998E-2</v>
      </c>
      <c r="Q72" s="294">
        <f t="shared" si="51"/>
        <v>-0.12803431812767099</v>
      </c>
      <c r="R72" s="294">
        <f t="shared" si="51"/>
        <v>-0.24222289354720117</v>
      </c>
      <c r="S72" s="294">
        <f t="shared" si="51"/>
        <v>-0.38991712622931723</v>
      </c>
      <c r="T72" s="294">
        <f t="shared" si="51"/>
        <v>-0.57116218589189671</v>
      </c>
      <c r="U72" s="294">
        <f t="shared" si="51"/>
        <v>-0.78600459734435368</v>
      </c>
      <c r="V72" s="294">
        <f t="shared" si="51"/>
        <v>-1.0344922811403845</v>
      </c>
      <c r="W72" s="294">
        <f t="shared" si="51"/>
        <v>-1.3166745954502961</v>
      </c>
      <c r="X72" s="294">
        <f t="shared" si="51"/>
        <v>-1.6326023791895048</v>
      </c>
    </row>
    <row r="73" spans="1:24" s="213" customFormat="1" outlineLevel="1">
      <c r="B73" s="269" t="s">
        <v>34</v>
      </c>
      <c r="C73" s="211" t="s">
        <v>67</v>
      </c>
      <c r="F73" s="219"/>
      <c r="H73" s="624"/>
      <c r="N73" s="626">
        <f>+SUM(N71:N72)</f>
        <v>-0.59278354</v>
      </c>
      <c r="O73" s="626">
        <f>+SUM(O71:O72)</f>
        <v>-0.33486041600000005</v>
      </c>
      <c r="P73" s="219">
        <f t="shared" ref="P73:X73" si="52">+SUM(P71:P72)</f>
        <v>-0.38216796187570007</v>
      </c>
      <c r="Q73" s="219">
        <f t="shared" si="52"/>
        <v>-0.46289473412767101</v>
      </c>
      <c r="R73" s="219">
        <f t="shared" si="52"/>
        <v>-0.57708330954720122</v>
      </c>
      <c r="S73" s="219">
        <f t="shared" si="52"/>
        <v>-0.72477754222931723</v>
      </c>
      <c r="T73" s="219">
        <f t="shared" si="52"/>
        <v>-0.90602260189189676</v>
      </c>
      <c r="U73" s="219">
        <f t="shared" si="52"/>
        <v>-1.1208650133443538</v>
      </c>
      <c r="V73" s="219">
        <f t="shared" si="52"/>
        <v>-1.3693526971403847</v>
      </c>
      <c r="W73" s="219">
        <f t="shared" si="52"/>
        <v>-1.6515350114502962</v>
      </c>
      <c r="X73" s="219">
        <f t="shared" si="52"/>
        <v>-1.9674627951895047</v>
      </c>
    </row>
    <row r="74" spans="1:24">
      <c r="B74" s="184"/>
      <c r="C74" s="182"/>
    </row>
    <row r="75" spans="1:24" ht="17" thickBot="1">
      <c r="A75" s="177" t="s">
        <v>10</v>
      </c>
      <c r="B75" s="610" t="s">
        <v>89</v>
      </c>
      <c r="C75" s="611"/>
      <c r="D75" s="610"/>
      <c r="E75" s="610"/>
      <c r="F75" s="610"/>
      <c r="G75" s="610"/>
      <c r="H75" s="612"/>
      <c r="I75" s="610"/>
      <c r="J75" s="610"/>
      <c r="K75" s="610"/>
      <c r="L75" s="610"/>
      <c r="M75" s="610"/>
      <c r="N75" s="613"/>
      <c r="O75" s="613"/>
      <c r="P75" s="610"/>
      <c r="Q75" s="610"/>
      <c r="R75" s="610"/>
      <c r="S75" s="610"/>
      <c r="T75" s="610"/>
      <c r="U75" s="610"/>
      <c r="V75" s="610"/>
      <c r="W75" s="610"/>
      <c r="X75" s="610"/>
    </row>
    <row r="76" spans="1:24" outlineLevel="1">
      <c r="A76" s="269"/>
      <c r="B76" s="184" t="s">
        <v>84</v>
      </c>
      <c r="C76" s="182" t="s">
        <v>67</v>
      </c>
      <c r="D76" s="269"/>
      <c r="E76" s="269"/>
      <c r="F76" s="654"/>
      <c r="G76" s="269"/>
      <c r="H76" s="634"/>
      <c r="I76" s="269"/>
      <c r="J76" s="269"/>
      <c r="K76" s="269"/>
      <c r="L76" s="269"/>
      <c r="M76" s="269"/>
      <c r="N76" s="638">
        <f>+N201</f>
        <v>3.3486041600000003</v>
      </c>
      <c r="O76" s="655">
        <f>+N76</f>
        <v>3.3486041600000003</v>
      </c>
      <c r="P76" s="654">
        <f t="shared" ref="P76:X76" si="53">+O76</f>
        <v>3.3486041600000003</v>
      </c>
      <c r="Q76" s="654">
        <f t="shared" si="53"/>
        <v>3.3486041600000003</v>
      </c>
      <c r="R76" s="654">
        <f t="shared" si="53"/>
        <v>3.3486041600000003</v>
      </c>
      <c r="S76" s="654">
        <f t="shared" si="53"/>
        <v>3.3486041600000003</v>
      </c>
      <c r="T76" s="654">
        <f t="shared" si="53"/>
        <v>3.3486041600000003</v>
      </c>
      <c r="U76" s="654">
        <f t="shared" si="53"/>
        <v>3.3486041600000003</v>
      </c>
      <c r="V76" s="654">
        <f t="shared" si="53"/>
        <v>3.3486041600000003</v>
      </c>
      <c r="W76" s="654">
        <f t="shared" si="53"/>
        <v>3.3486041600000003</v>
      </c>
      <c r="X76" s="654">
        <f t="shared" si="53"/>
        <v>3.3486041600000003</v>
      </c>
    </row>
    <row r="77" spans="1:24" outlineLevel="1">
      <c r="A77" s="269"/>
      <c r="B77" s="216" t="s">
        <v>85</v>
      </c>
      <c r="C77" s="208" t="s">
        <v>67</v>
      </c>
      <c r="D77" s="267"/>
      <c r="E77" s="267"/>
      <c r="F77" s="656"/>
      <c r="G77" s="267"/>
      <c r="H77" s="657"/>
      <c r="I77" s="267"/>
      <c r="J77" s="267"/>
      <c r="K77" s="267"/>
      <c r="L77" s="267"/>
      <c r="M77" s="267"/>
      <c r="N77" s="658">
        <f>+N64</f>
        <v>0</v>
      </c>
      <c r="O77" s="659">
        <f>+O64+N77</f>
        <v>0.47307545875699997</v>
      </c>
      <c r="P77" s="656">
        <f t="shared" ref="P77:X77" si="54">+P64+O77</f>
        <v>1.2803431812767099</v>
      </c>
      <c r="Q77" s="656">
        <f t="shared" si="54"/>
        <v>2.4222289354720115</v>
      </c>
      <c r="R77" s="656">
        <f t="shared" si="54"/>
        <v>3.899171262293172</v>
      </c>
      <c r="S77" s="656">
        <f t="shared" si="54"/>
        <v>5.7116218589189671</v>
      </c>
      <c r="T77" s="656">
        <f t="shared" si="54"/>
        <v>7.8600459734435368</v>
      </c>
      <c r="U77" s="656">
        <f t="shared" si="54"/>
        <v>10.344922811403844</v>
      </c>
      <c r="V77" s="656">
        <f t="shared" si="54"/>
        <v>13.166745954502959</v>
      </c>
      <c r="W77" s="656">
        <f t="shared" si="54"/>
        <v>16.326023791895047</v>
      </c>
      <c r="X77" s="656">
        <f t="shared" si="54"/>
        <v>19.823279964408897</v>
      </c>
    </row>
    <row r="78" spans="1:24" outlineLevel="1">
      <c r="A78" s="269"/>
      <c r="B78" s="269" t="s">
        <v>86</v>
      </c>
      <c r="C78" s="211" t="s">
        <v>67</v>
      </c>
      <c r="D78" s="269"/>
      <c r="E78" s="269"/>
      <c r="F78" s="660"/>
      <c r="G78" s="269"/>
      <c r="H78" s="634"/>
      <c r="I78" s="269"/>
      <c r="J78" s="269"/>
      <c r="K78" s="269"/>
      <c r="L78" s="269"/>
      <c r="M78" s="269"/>
      <c r="N78" s="661">
        <f>+SUM(N76:N77)</f>
        <v>3.3486041600000003</v>
      </c>
      <c r="O78" s="661">
        <f>+SUM(O76:O77)</f>
        <v>3.8216796187570004</v>
      </c>
      <c r="P78" s="660">
        <f t="shared" ref="P78" si="55">+SUM(P76:P77)</f>
        <v>4.6289473412767101</v>
      </c>
      <c r="Q78" s="660">
        <f t="shared" ref="Q78" si="56">+SUM(Q76:Q77)</f>
        <v>5.7708330954720122</v>
      </c>
      <c r="R78" s="660">
        <f t="shared" ref="R78" si="57">+SUM(R76:R77)</f>
        <v>7.2477754222931718</v>
      </c>
      <c r="S78" s="660">
        <f t="shared" ref="S78" si="58">+SUM(S76:S77)</f>
        <v>9.0602260189189678</v>
      </c>
      <c r="T78" s="660">
        <f t="shared" ref="T78" si="59">+SUM(T76:T77)</f>
        <v>11.208650133443538</v>
      </c>
      <c r="U78" s="660">
        <f t="shared" ref="U78" si="60">+SUM(U76:U77)</f>
        <v>13.693526971403845</v>
      </c>
      <c r="V78" s="660">
        <f t="shared" ref="V78" si="61">+SUM(V76:V77)</f>
        <v>16.515350114502958</v>
      </c>
      <c r="W78" s="660">
        <f t="shared" ref="W78" si="62">+SUM(W76:W77)</f>
        <v>19.674627951895047</v>
      </c>
      <c r="X78" s="660">
        <f t="shared" ref="X78" si="63">+SUM(X76:X77)</f>
        <v>23.171884124408898</v>
      </c>
    </row>
    <row r="79" spans="1:24" outlineLevel="1">
      <c r="A79" s="269"/>
      <c r="B79" s="495" t="s">
        <v>87</v>
      </c>
      <c r="C79" s="208" t="s">
        <v>67</v>
      </c>
      <c r="D79" s="267"/>
      <c r="E79" s="267"/>
      <c r="F79" s="656"/>
      <c r="G79" s="267"/>
      <c r="H79" s="657"/>
      <c r="I79" s="267"/>
      <c r="J79" s="267"/>
      <c r="K79" s="267"/>
      <c r="L79" s="267"/>
      <c r="M79" s="267"/>
      <c r="N79" s="658">
        <v>0</v>
      </c>
      <c r="O79" s="659">
        <f>+N79+O73</f>
        <v>-0.33486041600000005</v>
      </c>
      <c r="P79" s="656">
        <f>+O79+P73</f>
        <v>-0.71702837787570006</v>
      </c>
      <c r="Q79" s="656">
        <f t="shared" ref="Q79:X79" si="64">+P79+Q73</f>
        <v>-1.1799231120033711</v>
      </c>
      <c r="R79" s="656">
        <f t="shared" si="64"/>
        <v>-1.7570064215505723</v>
      </c>
      <c r="S79" s="656">
        <f t="shared" si="64"/>
        <v>-2.4817839637798897</v>
      </c>
      <c r="T79" s="656">
        <f t="shared" si="64"/>
        <v>-3.3878065656717866</v>
      </c>
      <c r="U79" s="656">
        <f t="shared" si="64"/>
        <v>-4.5086715790161405</v>
      </c>
      <c r="V79" s="656">
        <f t="shared" si="64"/>
        <v>-5.8780242761565251</v>
      </c>
      <c r="W79" s="656">
        <f t="shared" si="64"/>
        <v>-7.5295592876068209</v>
      </c>
      <c r="X79" s="656">
        <f t="shared" si="64"/>
        <v>-9.4970220827963256</v>
      </c>
    </row>
    <row r="80" spans="1:24" outlineLevel="1">
      <c r="A80" s="269"/>
      <c r="B80" s="269" t="s">
        <v>88</v>
      </c>
      <c r="C80" s="211" t="s">
        <v>67</v>
      </c>
      <c r="D80" s="269"/>
      <c r="E80" s="269"/>
      <c r="F80" s="660"/>
      <c r="G80" s="269"/>
      <c r="H80" s="634"/>
      <c r="I80" s="269"/>
      <c r="J80" s="269"/>
      <c r="K80" s="269"/>
      <c r="L80" s="269"/>
      <c r="M80" s="269"/>
      <c r="N80" s="661">
        <f>+SUM(N78:N79)</f>
        <v>3.3486041600000003</v>
      </c>
      <c r="O80" s="661">
        <f>+SUM(O78:O79)</f>
        <v>3.4868192027570002</v>
      </c>
      <c r="P80" s="660">
        <f>+SUM(P78:P79)</f>
        <v>3.9119189634010101</v>
      </c>
      <c r="Q80" s="660">
        <f t="shared" ref="Q80" si="65">+SUM(Q78:Q79)</f>
        <v>4.5909099834686415</v>
      </c>
      <c r="R80" s="660">
        <f t="shared" ref="R80" si="66">+SUM(R78:R79)</f>
        <v>5.4907690007425991</v>
      </c>
      <c r="S80" s="660">
        <f t="shared" ref="S80" si="67">+SUM(S78:S79)</f>
        <v>6.5784420551390781</v>
      </c>
      <c r="T80" s="660">
        <f t="shared" ref="T80" si="68">+SUM(T78:T79)</f>
        <v>7.8208435677717514</v>
      </c>
      <c r="U80" s="660">
        <f t="shared" ref="U80" si="69">+SUM(U78:U79)</f>
        <v>9.1848553923877034</v>
      </c>
      <c r="V80" s="660">
        <f t="shared" ref="V80" si="70">+SUM(V78:V79)</f>
        <v>10.637325838346433</v>
      </c>
      <c r="W80" s="660">
        <f t="shared" ref="W80" si="71">+SUM(W78:W79)</f>
        <v>12.145068664288226</v>
      </c>
      <c r="X80" s="660">
        <f t="shared" ref="X80" si="72">+SUM(X78:X79)</f>
        <v>13.674862041612572</v>
      </c>
    </row>
    <row r="81" spans="1:24">
      <c r="B81" s="184"/>
      <c r="C81" s="182"/>
    </row>
    <row r="82" spans="1:24" ht="17" thickBot="1">
      <c r="A82" s="177" t="s">
        <v>10</v>
      </c>
      <c r="B82" s="610" t="s">
        <v>90</v>
      </c>
      <c r="C82" s="611"/>
      <c r="D82" s="610"/>
      <c r="E82" s="610"/>
      <c r="F82" s="610"/>
      <c r="G82" s="610"/>
      <c r="H82" s="612"/>
      <c r="I82" s="610"/>
      <c r="J82" s="610"/>
      <c r="K82" s="610"/>
      <c r="L82" s="610"/>
      <c r="M82" s="610"/>
      <c r="N82" s="613"/>
      <c r="O82" s="613"/>
      <c r="P82" s="610"/>
      <c r="Q82" s="610"/>
      <c r="R82" s="610"/>
      <c r="S82" s="610"/>
      <c r="T82" s="610"/>
      <c r="U82" s="610"/>
      <c r="V82" s="610"/>
      <c r="W82" s="610"/>
      <c r="X82" s="610"/>
    </row>
    <row r="83" spans="1:24" outlineLevel="1">
      <c r="B83" s="184" t="s">
        <v>94</v>
      </c>
      <c r="C83" s="182" t="s">
        <v>92</v>
      </c>
      <c r="F83" s="662"/>
      <c r="N83" s="663">
        <f>N88/(N174/360)</f>
        <v>0.48511143013631164</v>
      </c>
      <c r="O83" s="664">
        <f>+Control!D31</f>
        <v>0.93429623030221209</v>
      </c>
      <c r="P83" s="665">
        <f t="shared" ref="P83:P85" si="73">+O83</f>
        <v>0.93429623030221209</v>
      </c>
      <c r="Q83" s="662">
        <f t="shared" ref="Q83:X83" si="74">+P83</f>
        <v>0.93429623030221209</v>
      </c>
      <c r="R83" s="662">
        <f t="shared" si="74"/>
        <v>0.93429623030221209</v>
      </c>
      <c r="S83" s="662">
        <f t="shared" si="74"/>
        <v>0.93429623030221209</v>
      </c>
      <c r="T83" s="662">
        <f t="shared" si="74"/>
        <v>0.93429623030221209</v>
      </c>
      <c r="U83" s="662">
        <f t="shared" si="74"/>
        <v>0.93429623030221209</v>
      </c>
      <c r="V83" s="662">
        <f t="shared" si="74"/>
        <v>0.93429623030221209</v>
      </c>
      <c r="W83" s="662">
        <f t="shared" si="74"/>
        <v>0.93429623030221209</v>
      </c>
      <c r="X83" s="662">
        <f t="shared" si="74"/>
        <v>0.93429623030221209</v>
      </c>
    </row>
    <row r="84" spans="1:24" outlineLevel="1">
      <c r="B84" s="184" t="s">
        <v>91</v>
      </c>
      <c r="C84" s="182" t="s">
        <v>181</v>
      </c>
      <c r="F84" s="662"/>
      <c r="N84" s="663">
        <f>N89/(-N175/360)</f>
        <v>0</v>
      </c>
      <c r="O84" s="664">
        <f>+Control!D32</f>
        <v>0</v>
      </c>
      <c r="P84" s="665">
        <f t="shared" si="73"/>
        <v>0</v>
      </c>
      <c r="Q84" s="662">
        <f t="shared" ref="Q84:X85" si="75">+P84</f>
        <v>0</v>
      </c>
      <c r="R84" s="662">
        <f t="shared" si="75"/>
        <v>0</v>
      </c>
      <c r="S84" s="662">
        <f t="shared" si="75"/>
        <v>0</v>
      </c>
      <c r="T84" s="662">
        <f t="shared" si="75"/>
        <v>0</v>
      </c>
      <c r="U84" s="662">
        <f t="shared" si="75"/>
        <v>0</v>
      </c>
      <c r="V84" s="662">
        <f t="shared" si="75"/>
        <v>0</v>
      </c>
      <c r="W84" s="662">
        <f t="shared" si="75"/>
        <v>0</v>
      </c>
      <c r="X84" s="662">
        <f t="shared" si="75"/>
        <v>0</v>
      </c>
    </row>
    <row r="85" spans="1:24" outlineLevel="1">
      <c r="B85" s="184" t="s">
        <v>45</v>
      </c>
      <c r="C85" s="182" t="s">
        <v>96</v>
      </c>
      <c r="F85" s="662"/>
      <c r="N85" s="663">
        <f>N92/((-N175-N177)/360)</f>
        <v>12.289279204936031</v>
      </c>
      <c r="O85" s="664">
        <f>+Control!D33</f>
        <v>17.398916777470326</v>
      </c>
      <c r="P85" s="665">
        <f t="shared" si="73"/>
        <v>17.398916777470326</v>
      </c>
      <c r="Q85" s="662">
        <f t="shared" si="75"/>
        <v>17.398916777470326</v>
      </c>
      <c r="R85" s="662">
        <f t="shared" si="75"/>
        <v>17.398916777470326</v>
      </c>
      <c r="S85" s="662">
        <f t="shared" si="75"/>
        <v>17.398916777470326</v>
      </c>
      <c r="T85" s="662">
        <f t="shared" si="75"/>
        <v>17.398916777470326</v>
      </c>
      <c r="U85" s="662">
        <f t="shared" si="75"/>
        <v>17.398916777470326</v>
      </c>
      <c r="V85" s="662">
        <f t="shared" si="75"/>
        <v>17.398916777470326</v>
      </c>
      <c r="W85" s="662">
        <f t="shared" si="75"/>
        <v>17.398916777470326</v>
      </c>
      <c r="X85" s="662">
        <f t="shared" si="75"/>
        <v>17.398916777470326</v>
      </c>
    </row>
    <row r="86" spans="1:24">
      <c r="B86" s="184"/>
      <c r="C86" s="182"/>
    </row>
    <row r="87" spans="1:24" ht="17" thickBot="1">
      <c r="A87" s="177" t="s">
        <v>10</v>
      </c>
      <c r="B87" s="610" t="s">
        <v>93</v>
      </c>
      <c r="C87" s="611"/>
      <c r="D87" s="610"/>
      <c r="E87" s="610"/>
      <c r="F87" s="610"/>
      <c r="G87" s="610"/>
      <c r="H87" s="612"/>
      <c r="I87" s="610"/>
      <c r="J87" s="610"/>
      <c r="K87" s="610"/>
      <c r="L87" s="610"/>
      <c r="M87" s="610"/>
      <c r="N87" s="613"/>
      <c r="O87" s="613"/>
      <c r="P87" s="610"/>
      <c r="Q87" s="610"/>
      <c r="R87" s="610"/>
      <c r="S87" s="610"/>
      <c r="T87" s="610"/>
      <c r="U87" s="610"/>
      <c r="V87" s="610"/>
      <c r="W87" s="610"/>
      <c r="X87" s="610"/>
    </row>
    <row r="88" spans="1:24" outlineLevel="1">
      <c r="B88" s="184" t="str">
        <f>+B83</f>
        <v>Accounts receivables</v>
      </c>
      <c r="C88" s="182" t="s">
        <v>67</v>
      </c>
      <c r="F88" s="201"/>
      <c r="N88" s="651">
        <f>+N196</f>
        <v>6.1891669999999996E-2</v>
      </c>
      <c r="O88" s="652">
        <f t="shared" ref="O88:X88" si="76">+O174/360*O83</f>
        <v>0.12277572715698741</v>
      </c>
      <c r="P88" s="201">
        <f t="shared" si="76"/>
        <v>0.20950755277633812</v>
      </c>
      <c r="Q88" s="201">
        <f t="shared" si="76"/>
        <v>0.29634987655013012</v>
      </c>
      <c r="R88" s="201">
        <f t="shared" si="76"/>
        <v>0.38330601342299658</v>
      </c>
      <c r="S88" s="201">
        <f t="shared" si="76"/>
        <v>0.47037937778790989</v>
      </c>
      <c r="T88" s="201">
        <f t="shared" si="76"/>
        <v>0.55757348646963134</v>
      </c>
      <c r="U88" s="201">
        <f t="shared" si="76"/>
        <v>0.64489196179766517</v>
      </c>
      <c r="V88" s="201">
        <f t="shared" si="76"/>
        <v>0.73233853477140087</v>
      </c>
      <c r="W88" s="201">
        <f t="shared" si="76"/>
        <v>0.81991704832020929</v>
      </c>
      <c r="X88" s="201">
        <f t="shared" si="76"/>
        <v>0.9076314606613427</v>
      </c>
    </row>
    <row r="89" spans="1:24" outlineLevel="1">
      <c r="B89" s="216" t="str">
        <f>+B84</f>
        <v>Inventory</v>
      </c>
      <c r="C89" s="208" t="s">
        <v>67</v>
      </c>
      <c r="D89" s="292"/>
      <c r="E89" s="292"/>
      <c r="F89" s="294"/>
      <c r="G89" s="292"/>
      <c r="H89" s="631"/>
      <c r="I89" s="292"/>
      <c r="J89" s="292"/>
      <c r="K89" s="292"/>
      <c r="L89" s="292"/>
      <c r="M89" s="292"/>
      <c r="N89" s="632">
        <f>+N197</f>
        <v>0</v>
      </c>
      <c r="O89" s="653">
        <f t="shared" ref="O89:X89" si="77">-O175/360*O84</f>
        <v>0</v>
      </c>
      <c r="P89" s="294">
        <f t="shared" si="77"/>
        <v>0</v>
      </c>
      <c r="Q89" s="294">
        <f t="shared" si="77"/>
        <v>0</v>
      </c>
      <c r="R89" s="294">
        <f t="shared" si="77"/>
        <v>0</v>
      </c>
      <c r="S89" s="294">
        <f t="shared" si="77"/>
        <v>0</v>
      </c>
      <c r="T89" s="294">
        <f t="shared" si="77"/>
        <v>0</v>
      </c>
      <c r="U89" s="294">
        <f t="shared" si="77"/>
        <v>0</v>
      </c>
      <c r="V89" s="294">
        <f t="shared" si="77"/>
        <v>0</v>
      </c>
      <c r="W89" s="294">
        <f t="shared" si="77"/>
        <v>0</v>
      </c>
      <c r="X89" s="294">
        <f t="shared" si="77"/>
        <v>0</v>
      </c>
    </row>
    <row r="90" spans="1:24" s="213" customFormat="1" outlineLevel="1">
      <c r="B90" s="269" t="s">
        <v>95</v>
      </c>
      <c r="C90" s="211" t="s">
        <v>67</v>
      </c>
      <c r="F90" s="219"/>
      <c r="H90" s="624"/>
      <c r="N90" s="626">
        <f>+SUM(N88:N89)</f>
        <v>6.1891669999999996E-2</v>
      </c>
      <c r="O90" s="626">
        <f>+SUM(O88:O89)</f>
        <v>0.12277572715698741</v>
      </c>
      <c r="P90" s="219">
        <f t="shared" ref="P90:X90" si="78">+SUM(P88:P89)</f>
        <v>0.20950755277633812</v>
      </c>
      <c r="Q90" s="219">
        <f t="shared" si="78"/>
        <v>0.29634987655013012</v>
      </c>
      <c r="R90" s="219">
        <f t="shared" si="78"/>
        <v>0.38330601342299658</v>
      </c>
      <c r="S90" s="219">
        <f t="shared" si="78"/>
        <v>0.47037937778790989</v>
      </c>
      <c r="T90" s="219">
        <f t="shared" si="78"/>
        <v>0.55757348646963134</v>
      </c>
      <c r="U90" s="219">
        <f t="shared" si="78"/>
        <v>0.64489196179766517</v>
      </c>
      <c r="V90" s="219">
        <f t="shared" si="78"/>
        <v>0.73233853477140087</v>
      </c>
      <c r="W90" s="219">
        <f t="shared" si="78"/>
        <v>0.81991704832020929</v>
      </c>
      <c r="X90" s="219">
        <f t="shared" si="78"/>
        <v>0.9076314606613427</v>
      </c>
    </row>
    <row r="91" spans="1:24" outlineLevel="1">
      <c r="B91" s="184"/>
      <c r="C91" s="182"/>
    </row>
    <row r="92" spans="1:24" outlineLevel="1">
      <c r="B92" s="216" t="str">
        <f>+B85</f>
        <v>Accounts payable</v>
      </c>
      <c r="C92" s="208" t="s">
        <v>67</v>
      </c>
      <c r="D92" s="292"/>
      <c r="E92" s="292"/>
      <c r="F92" s="294"/>
      <c r="G92" s="292"/>
      <c r="H92" s="631"/>
      <c r="I92" s="292"/>
      <c r="J92" s="292"/>
      <c r="K92" s="292"/>
      <c r="L92" s="292"/>
      <c r="M92" s="292"/>
      <c r="N92" s="632">
        <f>+N203</f>
        <v>1.4082911899999999</v>
      </c>
      <c r="O92" s="653">
        <f t="shared" ref="O92:X92" si="79">-(O175+O177)/360*O85</f>
        <v>2.1184698770856674</v>
      </c>
      <c r="P92" s="294">
        <f t="shared" si="79"/>
        <v>3.557250654682655</v>
      </c>
      <c r="Q92" s="294">
        <f t="shared" si="79"/>
        <v>5.0319877651273668</v>
      </c>
      <c r="R92" s="294">
        <f t="shared" si="79"/>
        <v>6.5086346833492357</v>
      </c>
      <c r="S92" s="294">
        <f t="shared" si="79"/>
        <v>7.9872487035815753</v>
      </c>
      <c r="T92" s="294">
        <f t="shared" si="79"/>
        <v>9.4678888388847025</v>
      </c>
      <c r="U92" s="294">
        <f t="shared" si="79"/>
        <v>10.950615872710738</v>
      </c>
      <c r="V92" s="294">
        <f t="shared" si="79"/>
        <v>12.435492412015369</v>
      </c>
      <c r="W92" s="294">
        <f t="shared" si="79"/>
        <v>13.922582941962956</v>
      </c>
      <c r="X92" s="294">
        <f t="shared" si="79"/>
        <v>15.411953882272787</v>
      </c>
    </row>
    <row r="93" spans="1:24" outlineLevel="1">
      <c r="B93" s="269" t="s">
        <v>97</v>
      </c>
      <c r="C93" s="211" t="s">
        <v>67</v>
      </c>
      <c r="F93" s="219"/>
      <c r="N93" s="626">
        <f>+N92</f>
        <v>1.4082911899999999</v>
      </c>
      <c r="O93" s="666">
        <f>+O92</f>
        <v>2.1184698770856674</v>
      </c>
      <c r="P93" s="219">
        <f t="shared" ref="P93:X93" si="80">+P92</f>
        <v>3.557250654682655</v>
      </c>
      <c r="Q93" s="219">
        <f t="shared" si="80"/>
        <v>5.0319877651273668</v>
      </c>
      <c r="R93" s="219">
        <f t="shared" si="80"/>
        <v>6.5086346833492357</v>
      </c>
      <c r="S93" s="219">
        <f t="shared" si="80"/>
        <v>7.9872487035815753</v>
      </c>
      <c r="T93" s="219">
        <f t="shared" si="80"/>
        <v>9.4678888388847025</v>
      </c>
      <c r="U93" s="219">
        <f t="shared" si="80"/>
        <v>10.950615872710738</v>
      </c>
      <c r="V93" s="219">
        <f t="shared" si="80"/>
        <v>12.435492412015369</v>
      </c>
      <c r="W93" s="219">
        <f t="shared" si="80"/>
        <v>13.922582941962956</v>
      </c>
      <c r="X93" s="219">
        <f t="shared" si="80"/>
        <v>15.411953882272787</v>
      </c>
    </row>
    <row r="94" spans="1:24" outlineLevel="1">
      <c r="B94" s="184"/>
      <c r="C94" s="182"/>
    </row>
    <row r="95" spans="1:24" outlineLevel="1">
      <c r="B95" s="184" t="str">
        <f>+B90</f>
        <v>Working Capital Assets</v>
      </c>
      <c r="C95" s="182" t="s">
        <v>67</v>
      </c>
      <c r="F95" s="201"/>
      <c r="N95" s="651">
        <f>+N90</f>
        <v>6.1891669999999996E-2</v>
      </c>
      <c r="O95" s="651">
        <f t="shared" ref="O95:X95" si="81">+O90</f>
        <v>0.12277572715698741</v>
      </c>
      <c r="P95" s="201">
        <f t="shared" si="81"/>
        <v>0.20950755277633812</v>
      </c>
      <c r="Q95" s="201">
        <f t="shared" si="81"/>
        <v>0.29634987655013012</v>
      </c>
      <c r="R95" s="201">
        <f t="shared" si="81"/>
        <v>0.38330601342299658</v>
      </c>
      <c r="S95" s="201">
        <f t="shared" si="81"/>
        <v>0.47037937778790989</v>
      </c>
      <c r="T95" s="201">
        <f t="shared" si="81"/>
        <v>0.55757348646963134</v>
      </c>
      <c r="U95" s="201">
        <f t="shared" si="81"/>
        <v>0.64489196179766517</v>
      </c>
      <c r="V95" s="201">
        <f t="shared" si="81"/>
        <v>0.73233853477140087</v>
      </c>
      <c r="W95" s="201">
        <f t="shared" si="81"/>
        <v>0.81991704832020929</v>
      </c>
      <c r="X95" s="201">
        <f t="shared" si="81"/>
        <v>0.9076314606613427</v>
      </c>
    </row>
    <row r="96" spans="1:24" outlineLevel="1">
      <c r="B96" s="216" t="str">
        <f>+B93</f>
        <v>Working Capital Liabilities</v>
      </c>
      <c r="C96" s="208" t="s">
        <v>67</v>
      </c>
      <c r="D96" s="292"/>
      <c r="E96" s="292"/>
      <c r="F96" s="294"/>
      <c r="G96" s="292"/>
      <c r="H96" s="631"/>
      <c r="I96" s="292"/>
      <c r="J96" s="292"/>
      <c r="K96" s="292"/>
      <c r="L96" s="292"/>
      <c r="M96" s="292"/>
      <c r="N96" s="632">
        <f>+N93</f>
        <v>1.4082911899999999</v>
      </c>
      <c r="O96" s="632">
        <f t="shared" ref="O96:X96" si="82">+O93</f>
        <v>2.1184698770856674</v>
      </c>
      <c r="P96" s="294">
        <f t="shared" si="82"/>
        <v>3.557250654682655</v>
      </c>
      <c r="Q96" s="294">
        <f t="shared" si="82"/>
        <v>5.0319877651273668</v>
      </c>
      <c r="R96" s="294">
        <f t="shared" si="82"/>
        <v>6.5086346833492357</v>
      </c>
      <c r="S96" s="294">
        <f t="shared" si="82"/>
        <v>7.9872487035815753</v>
      </c>
      <c r="T96" s="294">
        <f t="shared" si="82"/>
        <v>9.4678888388847025</v>
      </c>
      <c r="U96" s="294">
        <f t="shared" si="82"/>
        <v>10.950615872710738</v>
      </c>
      <c r="V96" s="294">
        <f t="shared" si="82"/>
        <v>12.435492412015369</v>
      </c>
      <c r="W96" s="294">
        <f t="shared" si="82"/>
        <v>13.922582941962956</v>
      </c>
      <c r="X96" s="294">
        <f t="shared" si="82"/>
        <v>15.411953882272787</v>
      </c>
    </row>
    <row r="97" spans="1:24" s="213" customFormat="1" outlineLevel="1">
      <c r="B97" s="269" t="s">
        <v>98</v>
      </c>
      <c r="C97" s="211" t="s">
        <v>67</v>
      </c>
      <c r="F97" s="219"/>
      <c r="H97" s="624"/>
      <c r="N97" s="626">
        <f>N95-N96</f>
        <v>-1.3463995199999998</v>
      </c>
      <c r="O97" s="666">
        <f>O95-O96</f>
        <v>-1.99569414992868</v>
      </c>
      <c r="P97" s="219">
        <f t="shared" ref="P97:X97" si="83">P95-P96</f>
        <v>-3.3477431019063171</v>
      </c>
      <c r="Q97" s="219">
        <f t="shared" si="83"/>
        <v>-4.7356378885772363</v>
      </c>
      <c r="R97" s="219">
        <f t="shared" si="83"/>
        <v>-6.1253286699262395</v>
      </c>
      <c r="S97" s="219">
        <f t="shared" si="83"/>
        <v>-7.5168693257936656</v>
      </c>
      <c r="T97" s="219">
        <f t="shared" si="83"/>
        <v>-8.910315352415072</v>
      </c>
      <c r="U97" s="219">
        <f t="shared" si="83"/>
        <v>-10.305723910913073</v>
      </c>
      <c r="V97" s="219">
        <f t="shared" si="83"/>
        <v>-11.703153877243968</v>
      </c>
      <c r="W97" s="219">
        <f t="shared" si="83"/>
        <v>-13.102665893642747</v>
      </c>
      <c r="X97" s="219">
        <f t="shared" si="83"/>
        <v>-14.504322421611445</v>
      </c>
    </row>
    <row r="98" spans="1:24" outlineLevel="1">
      <c r="B98" s="184"/>
      <c r="C98" s="182"/>
    </row>
    <row r="99" spans="1:24" outlineLevel="1">
      <c r="B99" s="269" t="s">
        <v>99</v>
      </c>
      <c r="C99" s="211" t="s">
        <v>67</v>
      </c>
      <c r="F99" s="201"/>
      <c r="G99" s="361"/>
      <c r="O99" s="651">
        <f>-(O97-N97)</f>
        <v>0.64929462992868014</v>
      </c>
      <c r="P99" s="201">
        <f t="shared" ref="P99:X99" si="84">-(P97-O97)</f>
        <v>1.3520489519776371</v>
      </c>
      <c r="Q99" s="201">
        <f t="shared" si="84"/>
        <v>1.3878947866709193</v>
      </c>
      <c r="R99" s="201">
        <f t="shared" si="84"/>
        <v>1.3896907813490031</v>
      </c>
      <c r="S99" s="201">
        <f t="shared" si="84"/>
        <v>1.3915406558674261</v>
      </c>
      <c r="T99" s="201">
        <f t="shared" si="84"/>
        <v>1.3934460266214064</v>
      </c>
      <c r="U99" s="201">
        <f t="shared" si="84"/>
        <v>1.3954085584980014</v>
      </c>
      <c r="V99" s="201">
        <f t="shared" si="84"/>
        <v>1.3974299663308951</v>
      </c>
      <c r="W99" s="201">
        <f t="shared" si="84"/>
        <v>1.3995120163987789</v>
      </c>
      <c r="X99" s="201">
        <f t="shared" si="84"/>
        <v>1.4016565279686972</v>
      </c>
    </row>
    <row r="100" spans="1:24">
      <c r="B100" s="269"/>
      <c r="C100" s="211"/>
    </row>
    <row r="101" spans="1:24" ht="17" thickBot="1">
      <c r="A101" s="177" t="s">
        <v>10</v>
      </c>
      <c r="B101" s="610" t="s">
        <v>22</v>
      </c>
      <c r="C101" s="611"/>
      <c r="D101" s="610"/>
      <c r="E101" s="610"/>
      <c r="F101" s="610"/>
      <c r="G101" s="610"/>
      <c r="H101" s="612"/>
      <c r="I101" s="610"/>
      <c r="J101" s="610"/>
      <c r="K101" s="610"/>
      <c r="L101" s="610"/>
      <c r="M101" s="610"/>
      <c r="N101" s="613"/>
      <c r="O101" s="613"/>
      <c r="P101" s="610"/>
      <c r="Q101" s="610"/>
      <c r="R101" s="610"/>
      <c r="S101" s="610"/>
      <c r="T101" s="610"/>
      <c r="U101" s="610"/>
      <c r="V101" s="610"/>
      <c r="W101" s="610"/>
      <c r="X101" s="610"/>
    </row>
    <row r="102" spans="1:24" outlineLevel="1">
      <c r="B102" s="184" t="str">
        <f>+B185</f>
        <v>Earnings before taxes</v>
      </c>
      <c r="C102" s="182" t="s">
        <v>67</v>
      </c>
      <c r="F102" s="201"/>
      <c r="N102" s="651">
        <f>+N185</f>
        <v>4.1203633399999928</v>
      </c>
      <c r="O102" s="667">
        <f t="shared" ref="O102:X102" si="85">+O185</f>
        <v>-1.7717512507547457</v>
      </c>
      <c r="P102" s="201">
        <f t="shared" si="85"/>
        <v>0.68000888377052693</v>
      </c>
      <c r="Q102" s="201">
        <f t="shared" si="85"/>
        <v>3.643495930193839</v>
      </c>
      <c r="R102" s="201">
        <f t="shared" si="85"/>
        <v>6.2489676521925919</v>
      </c>
      <c r="S102" s="201">
        <f t="shared" si="85"/>
        <v>8.7377278493687367</v>
      </c>
      <c r="T102" s="201">
        <f t="shared" si="85"/>
        <v>11.285030359577371</v>
      </c>
      <c r="U102" s="201">
        <f t="shared" si="85"/>
        <v>13.936167353051202</v>
      </c>
      <c r="V102" s="201">
        <f t="shared" si="85"/>
        <v>16.658813945608383</v>
      </c>
      <c r="W102" s="201">
        <f t="shared" si="85"/>
        <v>19.352795268274612</v>
      </c>
      <c r="X102" s="201">
        <f t="shared" si="85"/>
        <v>22.018211362953334</v>
      </c>
    </row>
    <row r="103" spans="1:24" outlineLevel="1">
      <c r="B103" s="216" t="s">
        <v>180</v>
      </c>
      <c r="C103" s="668" t="s">
        <v>14</v>
      </c>
      <c r="D103" s="292"/>
      <c r="E103" s="292"/>
      <c r="F103" s="446"/>
      <c r="G103" s="292"/>
      <c r="H103" s="631"/>
      <c r="I103" s="292"/>
      <c r="J103" s="292"/>
      <c r="K103" s="292"/>
      <c r="L103" s="292"/>
      <c r="M103" s="292"/>
      <c r="N103" s="669">
        <f>-N104/N102</f>
        <v>0.44552481345006872</v>
      </c>
      <c r="O103" s="670">
        <f t="shared" ref="O103:X103" si="86">+O28</f>
        <v>0.26</v>
      </c>
      <c r="P103" s="446">
        <f t="shared" si="86"/>
        <v>0.26</v>
      </c>
      <c r="Q103" s="446">
        <f t="shared" si="86"/>
        <v>0.26</v>
      </c>
      <c r="R103" s="446">
        <f t="shared" si="86"/>
        <v>0.26</v>
      </c>
      <c r="S103" s="446">
        <f t="shared" si="86"/>
        <v>0.26</v>
      </c>
      <c r="T103" s="446">
        <f t="shared" si="86"/>
        <v>0.26</v>
      </c>
      <c r="U103" s="446">
        <f t="shared" si="86"/>
        <v>0.26</v>
      </c>
      <c r="V103" s="446">
        <f t="shared" si="86"/>
        <v>0.26</v>
      </c>
      <c r="W103" s="446">
        <f t="shared" si="86"/>
        <v>0.26</v>
      </c>
      <c r="X103" s="446">
        <f t="shared" si="86"/>
        <v>0.26</v>
      </c>
    </row>
    <row r="104" spans="1:24" s="213" customFormat="1" outlineLevel="1">
      <c r="B104" s="269" t="s">
        <v>179</v>
      </c>
      <c r="C104" s="211" t="s">
        <v>67</v>
      </c>
      <c r="F104" s="219"/>
      <c r="H104" s="624"/>
      <c r="N104" s="626">
        <f>+N186</f>
        <v>-1.8357241083999989</v>
      </c>
      <c r="O104" s="626">
        <f>MIN(O102*-O103,0)</f>
        <v>0</v>
      </c>
      <c r="P104" s="219">
        <f t="shared" ref="P104:X104" si="87">MIN(P102*-P103,0)</f>
        <v>-0.17680230978033701</v>
      </c>
      <c r="Q104" s="219">
        <f t="shared" si="87"/>
        <v>-0.94730894185039816</v>
      </c>
      <c r="R104" s="219">
        <f t="shared" si="87"/>
        <v>-1.624731589570074</v>
      </c>
      <c r="S104" s="219">
        <f t="shared" si="87"/>
        <v>-2.2718092408358714</v>
      </c>
      <c r="T104" s="219">
        <f t="shared" si="87"/>
        <v>-2.9341078934901166</v>
      </c>
      <c r="U104" s="219">
        <f t="shared" si="87"/>
        <v>-3.6234035117933128</v>
      </c>
      <c r="V104" s="219">
        <f t="shared" si="87"/>
        <v>-4.3312916258581797</v>
      </c>
      <c r="W104" s="219">
        <f t="shared" si="87"/>
        <v>-5.0317267697513994</v>
      </c>
      <c r="X104" s="219">
        <f t="shared" si="87"/>
        <v>-5.7247349543678672</v>
      </c>
    </row>
    <row r="105" spans="1:24" s="213" customFormat="1">
      <c r="B105" s="269"/>
      <c r="C105" s="211"/>
      <c r="F105" s="219"/>
      <c r="H105" s="624"/>
      <c r="N105" s="626"/>
      <c r="O105" s="626"/>
      <c r="P105" s="219"/>
      <c r="Q105" s="219"/>
      <c r="R105" s="219"/>
      <c r="S105" s="219"/>
      <c r="T105" s="219"/>
      <c r="U105" s="219"/>
      <c r="V105" s="219"/>
      <c r="W105" s="219"/>
      <c r="X105" s="219"/>
    </row>
    <row r="106" spans="1:24" ht="17" thickBot="1">
      <c r="A106" s="177" t="s">
        <v>10</v>
      </c>
      <c r="B106" s="610" t="s">
        <v>184</v>
      </c>
      <c r="C106" s="611"/>
      <c r="D106" s="610"/>
      <c r="E106" s="610"/>
      <c r="F106" s="610"/>
      <c r="G106" s="610"/>
      <c r="H106" s="612"/>
      <c r="I106" s="610"/>
      <c r="J106" s="610"/>
      <c r="K106" s="610"/>
      <c r="L106" s="610"/>
      <c r="M106" s="610"/>
      <c r="N106" s="613"/>
      <c r="O106" s="613"/>
      <c r="P106" s="610"/>
      <c r="Q106" s="610"/>
      <c r="R106" s="610"/>
      <c r="S106" s="610"/>
      <c r="T106" s="610"/>
      <c r="U106" s="610"/>
      <c r="V106" s="610"/>
      <c r="W106" s="610"/>
      <c r="X106" s="610"/>
    </row>
    <row r="107" spans="1:24" s="213" customFormat="1" outlineLevel="1">
      <c r="B107" s="263" t="s">
        <v>185</v>
      </c>
      <c r="C107" s="182" t="s">
        <v>67</v>
      </c>
      <c r="F107" s="201"/>
      <c r="H107" s="671"/>
      <c r="N107" s="626">
        <f>+SUM(H107:M107)</f>
        <v>0</v>
      </c>
      <c r="O107" s="651">
        <f>+N110</f>
        <v>18.033762394285684</v>
      </c>
      <c r="P107" s="201">
        <f t="shared" ref="P107:X107" si="88">+O110</f>
        <v>18.033762394285684</v>
      </c>
      <c r="Q107" s="201">
        <f t="shared" si="88"/>
        <v>18.033762394285684</v>
      </c>
      <c r="R107" s="201">
        <f t="shared" si="88"/>
        <v>21.230289045295901</v>
      </c>
      <c r="S107" s="201">
        <f t="shared" si="88"/>
        <v>24.323374526636904</v>
      </c>
      <c r="T107" s="201">
        <f t="shared" si="88"/>
        <v>26.351633762422509</v>
      </c>
      <c r="U107" s="201">
        <f t="shared" si="88"/>
        <v>27.332555472553771</v>
      </c>
      <c r="V107" s="201">
        <f t="shared" si="88"/>
        <v>27.332555472553771</v>
      </c>
      <c r="W107" s="201">
        <f t="shared" si="88"/>
        <v>27.332555472553771</v>
      </c>
      <c r="X107" s="201">
        <f t="shared" si="88"/>
        <v>27.332555472553771</v>
      </c>
    </row>
    <row r="108" spans="1:24" s="213" customFormat="1" outlineLevel="1">
      <c r="B108" s="184" t="s">
        <v>186</v>
      </c>
      <c r="C108" s="182" t="s">
        <v>67</v>
      </c>
      <c r="F108" s="201"/>
      <c r="H108" s="624"/>
      <c r="N108" s="626">
        <f t="shared" ref="N108:N110" si="89">+SUM(H108:M108)</f>
        <v>0</v>
      </c>
      <c r="O108" s="651">
        <f>+O294</f>
        <v>0</v>
      </c>
      <c r="P108" s="201">
        <f t="shared" ref="P108:X108" si="90">+P294</f>
        <v>0</v>
      </c>
      <c r="Q108" s="201">
        <f t="shared" si="90"/>
        <v>3.1965266510102173</v>
      </c>
      <c r="R108" s="201">
        <f t="shared" si="90"/>
        <v>3.0930854813410029</v>
      </c>
      <c r="S108" s="201">
        <f t="shared" si="90"/>
        <v>2.0282592357856046</v>
      </c>
      <c r="T108" s="201">
        <f t="shared" si="90"/>
        <v>0.98092171013126417</v>
      </c>
      <c r="U108" s="201">
        <f t="shared" si="90"/>
        <v>0</v>
      </c>
      <c r="V108" s="201">
        <f t="shared" si="90"/>
        <v>0</v>
      </c>
      <c r="W108" s="201">
        <f t="shared" si="90"/>
        <v>0</v>
      </c>
      <c r="X108" s="201">
        <f t="shared" si="90"/>
        <v>0</v>
      </c>
    </row>
    <row r="109" spans="1:24" s="213" customFormat="1" outlineLevel="1">
      <c r="B109" s="216" t="s">
        <v>187</v>
      </c>
      <c r="C109" s="208" t="s">
        <v>67</v>
      </c>
      <c r="D109" s="322"/>
      <c r="E109" s="322"/>
      <c r="F109" s="294"/>
      <c r="G109" s="322"/>
      <c r="H109" s="672"/>
      <c r="I109" s="322"/>
      <c r="J109" s="322"/>
      <c r="K109" s="322"/>
      <c r="L109" s="322"/>
      <c r="M109" s="322"/>
      <c r="N109" s="673">
        <f t="shared" si="89"/>
        <v>0</v>
      </c>
      <c r="O109" s="632">
        <f>O293</f>
        <v>0</v>
      </c>
      <c r="P109" s="294">
        <f t="shared" ref="P109:X109" si="91">P293</f>
        <v>0</v>
      </c>
      <c r="Q109" s="294">
        <f t="shared" si="91"/>
        <v>0</v>
      </c>
      <c r="R109" s="294">
        <f t="shared" si="91"/>
        <v>0</v>
      </c>
      <c r="S109" s="294">
        <f t="shared" si="91"/>
        <v>0</v>
      </c>
      <c r="T109" s="294">
        <f t="shared" si="91"/>
        <v>0</v>
      </c>
      <c r="U109" s="294">
        <f t="shared" si="91"/>
        <v>0</v>
      </c>
      <c r="V109" s="294">
        <f t="shared" si="91"/>
        <v>0</v>
      </c>
      <c r="W109" s="294">
        <f t="shared" si="91"/>
        <v>0</v>
      </c>
      <c r="X109" s="294">
        <f t="shared" si="91"/>
        <v>0</v>
      </c>
    </row>
    <row r="110" spans="1:24" s="213" customFormat="1" outlineLevel="1">
      <c r="B110" s="269" t="s">
        <v>188</v>
      </c>
      <c r="C110" s="211" t="s">
        <v>67</v>
      </c>
      <c r="F110" s="219"/>
      <c r="H110" s="671">
        <f>+H208</f>
        <v>18.033762394285684</v>
      </c>
      <c r="N110" s="626">
        <f t="shared" si="89"/>
        <v>18.033762394285684</v>
      </c>
      <c r="O110" s="626">
        <f>+SUM(O107:O109)</f>
        <v>18.033762394285684</v>
      </c>
      <c r="P110" s="219">
        <f t="shared" ref="P110:X110" si="92">+SUM(P107:P109)</f>
        <v>18.033762394285684</v>
      </c>
      <c r="Q110" s="219">
        <f t="shared" si="92"/>
        <v>21.230289045295901</v>
      </c>
      <c r="R110" s="219">
        <f t="shared" si="92"/>
        <v>24.323374526636904</v>
      </c>
      <c r="S110" s="219">
        <f t="shared" si="92"/>
        <v>26.351633762422509</v>
      </c>
      <c r="T110" s="219">
        <f t="shared" si="92"/>
        <v>27.332555472553771</v>
      </c>
      <c r="U110" s="219">
        <f t="shared" si="92"/>
        <v>27.332555472553771</v>
      </c>
      <c r="V110" s="219">
        <f t="shared" si="92"/>
        <v>27.332555472553771</v>
      </c>
      <c r="W110" s="219">
        <f t="shared" si="92"/>
        <v>27.332555472553771</v>
      </c>
      <c r="X110" s="219">
        <f t="shared" si="92"/>
        <v>27.332555472553771</v>
      </c>
    </row>
    <row r="111" spans="1:24" s="213" customFormat="1">
      <c r="B111" s="269"/>
      <c r="C111" s="211"/>
      <c r="F111" s="219"/>
      <c r="H111" s="624"/>
      <c r="N111" s="626"/>
      <c r="O111" s="626"/>
      <c r="P111" s="219"/>
      <c r="Q111" s="219"/>
      <c r="R111" s="219"/>
      <c r="S111" s="219"/>
      <c r="T111" s="219"/>
      <c r="U111" s="219"/>
      <c r="V111" s="219"/>
      <c r="W111" s="219"/>
      <c r="X111" s="219"/>
    </row>
    <row r="112" spans="1:24" ht="17" thickBot="1">
      <c r="A112" s="177" t="s">
        <v>10</v>
      </c>
      <c r="B112" s="610" t="s">
        <v>198</v>
      </c>
      <c r="C112" s="611"/>
      <c r="D112" s="610"/>
      <c r="E112" s="610"/>
      <c r="F112" s="610"/>
      <c r="G112" s="610"/>
      <c r="H112" s="612"/>
      <c r="I112" s="610"/>
      <c r="J112" s="610"/>
      <c r="K112" s="610"/>
      <c r="L112" s="610"/>
      <c r="M112" s="610"/>
      <c r="N112" s="613"/>
      <c r="O112" s="613"/>
      <c r="P112" s="610"/>
      <c r="Q112" s="610"/>
      <c r="R112" s="610"/>
      <c r="S112" s="610"/>
      <c r="T112" s="610"/>
      <c r="U112" s="610"/>
      <c r="V112" s="610"/>
      <c r="W112" s="610"/>
      <c r="X112" s="610"/>
    </row>
    <row r="113" spans="1:24" s="213" customFormat="1" outlineLevel="1">
      <c r="B113" s="263" t="s">
        <v>199</v>
      </c>
      <c r="C113" s="182" t="s">
        <v>67</v>
      </c>
      <c r="F113" s="201"/>
      <c r="H113" s="624"/>
      <c r="N113" s="626">
        <f>+SUM(H113:M113)</f>
        <v>0</v>
      </c>
      <c r="O113" s="651">
        <f>+N116</f>
        <v>15.362093891428545</v>
      </c>
      <c r="P113" s="201">
        <f t="shared" ref="P113:X113" si="93">+O116</f>
        <v>15.362093891428545</v>
      </c>
      <c r="Q113" s="201">
        <f t="shared" si="93"/>
        <v>15.362093891428545</v>
      </c>
      <c r="R113" s="201">
        <f t="shared" si="93"/>
        <v>18.085061038585398</v>
      </c>
      <c r="S113" s="201">
        <f t="shared" si="93"/>
        <v>20.719911633801807</v>
      </c>
      <c r="T113" s="201">
        <f t="shared" si="93"/>
        <v>22.447688019841397</v>
      </c>
      <c r="U113" s="201">
        <f t="shared" si="93"/>
        <v>23.283287995138402</v>
      </c>
      <c r="V113" s="201">
        <f t="shared" si="93"/>
        <v>23.283287995138402</v>
      </c>
      <c r="W113" s="201">
        <f t="shared" si="93"/>
        <v>23.283287995138402</v>
      </c>
      <c r="X113" s="201">
        <f t="shared" si="93"/>
        <v>23.283287995138402</v>
      </c>
    </row>
    <row r="114" spans="1:24" s="213" customFormat="1" outlineLevel="1">
      <c r="B114" s="184" t="s">
        <v>191</v>
      </c>
      <c r="C114" s="182" t="s">
        <v>67</v>
      </c>
      <c r="F114" s="201"/>
      <c r="H114" s="624"/>
      <c r="I114" s="219"/>
      <c r="N114" s="626">
        <f t="shared" ref="N114:N116" si="94">+SUM(H114:M114)</f>
        <v>0</v>
      </c>
      <c r="O114" s="651">
        <f>+O295</f>
        <v>0</v>
      </c>
      <c r="P114" s="201">
        <f t="shared" ref="P114:X114" si="95">+P295</f>
        <v>0</v>
      </c>
      <c r="Q114" s="201">
        <f t="shared" si="95"/>
        <v>2.7229671471568513</v>
      </c>
      <c r="R114" s="201">
        <f t="shared" si="95"/>
        <v>2.6348505952164096</v>
      </c>
      <c r="S114" s="201">
        <f t="shared" si="95"/>
        <v>1.7277763860395889</v>
      </c>
      <c r="T114" s="201">
        <f t="shared" si="95"/>
        <v>0.8355999752970027</v>
      </c>
      <c r="U114" s="201">
        <f t="shared" si="95"/>
        <v>0</v>
      </c>
      <c r="V114" s="201">
        <f t="shared" si="95"/>
        <v>0</v>
      </c>
      <c r="W114" s="201">
        <f t="shared" si="95"/>
        <v>0</v>
      </c>
      <c r="X114" s="201">
        <f t="shared" si="95"/>
        <v>0</v>
      </c>
    </row>
    <row r="115" spans="1:24" s="213" customFormat="1" outlineLevel="1">
      <c r="B115" s="216" t="s">
        <v>200</v>
      </c>
      <c r="C115" s="208" t="s">
        <v>67</v>
      </c>
      <c r="D115" s="322"/>
      <c r="E115" s="322"/>
      <c r="F115" s="294"/>
      <c r="G115" s="322"/>
      <c r="H115" s="672"/>
      <c r="I115" s="322"/>
      <c r="J115" s="322"/>
      <c r="K115" s="322"/>
      <c r="L115" s="322"/>
      <c r="M115" s="322"/>
      <c r="N115" s="673">
        <f t="shared" si="94"/>
        <v>0</v>
      </c>
      <c r="O115" s="632">
        <f>+O278</f>
        <v>0</v>
      </c>
      <c r="P115" s="294">
        <f t="shared" ref="P115:X115" si="96">+P278</f>
        <v>0</v>
      </c>
      <c r="Q115" s="294">
        <f t="shared" si="96"/>
        <v>0</v>
      </c>
      <c r="R115" s="294">
        <f t="shared" si="96"/>
        <v>0</v>
      </c>
      <c r="S115" s="294">
        <f t="shared" si="96"/>
        <v>0</v>
      </c>
      <c r="T115" s="294">
        <f t="shared" si="96"/>
        <v>0</v>
      </c>
      <c r="U115" s="294">
        <f t="shared" si="96"/>
        <v>0</v>
      </c>
      <c r="V115" s="294">
        <f t="shared" si="96"/>
        <v>0</v>
      </c>
      <c r="W115" s="294">
        <f t="shared" si="96"/>
        <v>0</v>
      </c>
      <c r="X115" s="294">
        <f t="shared" si="96"/>
        <v>0</v>
      </c>
    </row>
    <row r="116" spans="1:24" s="213" customFormat="1" outlineLevel="1">
      <c r="B116" s="269" t="s">
        <v>201</v>
      </c>
      <c r="C116" s="211" t="s">
        <v>67</v>
      </c>
      <c r="F116" s="219"/>
      <c r="H116" s="624"/>
      <c r="I116" s="220">
        <f>+I206</f>
        <v>15.362093891428545</v>
      </c>
      <c r="N116" s="626">
        <f t="shared" si="94"/>
        <v>15.362093891428545</v>
      </c>
      <c r="O116" s="626">
        <f>+SUM(O113:O115)</f>
        <v>15.362093891428545</v>
      </c>
      <c r="P116" s="219">
        <f t="shared" ref="P116:X116" si="97">+SUM(P113:P115)</f>
        <v>15.362093891428545</v>
      </c>
      <c r="Q116" s="219">
        <f t="shared" si="97"/>
        <v>18.085061038585398</v>
      </c>
      <c r="R116" s="219">
        <f t="shared" si="97"/>
        <v>20.719911633801807</v>
      </c>
      <c r="S116" s="219">
        <f t="shared" si="97"/>
        <v>22.447688019841397</v>
      </c>
      <c r="T116" s="219">
        <f t="shared" si="97"/>
        <v>23.283287995138402</v>
      </c>
      <c r="U116" s="219">
        <f t="shared" si="97"/>
        <v>23.283287995138402</v>
      </c>
      <c r="V116" s="219">
        <f t="shared" si="97"/>
        <v>23.283287995138402</v>
      </c>
      <c r="W116" s="219">
        <f t="shared" si="97"/>
        <v>23.283287995138402</v>
      </c>
      <c r="X116" s="219">
        <f t="shared" si="97"/>
        <v>23.283287995138402</v>
      </c>
    </row>
    <row r="117" spans="1:24" s="213" customFormat="1" outlineLevel="1">
      <c r="B117" s="263"/>
      <c r="C117" s="211"/>
      <c r="F117" s="219"/>
      <c r="H117" s="624"/>
      <c r="N117" s="626"/>
      <c r="O117" s="626"/>
      <c r="P117" s="219"/>
      <c r="Q117" s="219"/>
      <c r="R117" s="219"/>
      <c r="S117" s="219"/>
      <c r="T117" s="219"/>
      <c r="U117" s="219"/>
      <c r="V117" s="219"/>
      <c r="W117" s="219"/>
      <c r="X117" s="219"/>
    </row>
    <row r="118" spans="1:24" s="213" customFormat="1" outlineLevel="1">
      <c r="B118" s="263" t="s">
        <v>202</v>
      </c>
      <c r="C118" s="211" t="s">
        <v>14</v>
      </c>
      <c r="F118" s="186"/>
      <c r="H118" s="624"/>
      <c r="N118" s="626"/>
      <c r="O118" s="628">
        <f>Control!D65</f>
        <v>0.12</v>
      </c>
      <c r="P118" s="186">
        <f>+O118</f>
        <v>0.12</v>
      </c>
      <c r="Q118" s="186">
        <f t="shared" ref="Q118:X118" si="98">+P118</f>
        <v>0.12</v>
      </c>
      <c r="R118" s="186">
        <f t="shared" si="98"/>
        <v>0.12</v>
      </c>
      <c r="S118" s="186">
        <f t="shared" si="98"/>
        <v>0.12</v>
      </c>
      <c r="T118" s="186">
        <f t="shared" si="98"/>
        <v>0.12</v>
      </c>
      <c r="U118" s="186">
        <f t="shared" si="98"/>
        <v>0.12</v>
      </c>
      <c r="V118" s="186">
        <f t="shared" si="98"/>
        <v>0.12</v>
      </c>
      <c r="W118" s="186">
        <f t="shared" si="98"/>
        <v>0.12</v>
      </c>
      <c r="X118" s="186">
        <f t="shared" si="98"/>
        <v>0.12</v>
      </c>
    </row>
    <row r="119" spans="1:24" s="213" customFormat="1" outlineLevel="1">
      <c r="B119" s="263" t="s">
        <v>203</v>
      </c>
      <c r="C119" s="211" t="s">
        <v>67</v>
      </c>
      <c r="F119" s="219"/>
      <c r="H119" s="624"/>
      <c r="N119" s="626"/>
      <c r="O119" s="626">
        <f>+O113*O118</f>
        <v>1.8434512669714254</v>
      </c>
      <c r="P119" s="219">
        <f t="shared" ref="P119:X119" si="99">+P113*P118</f>
        <v>1.8434512669714254</v>
      </c>
      <c r="Q119" s="219">
        <f t="shared" si="99"/>
        <v>1.8434512669714254</v>
      </c>
      <c r="R119" s="219">
        <f t="shared" si="99"/>
        <v>2.1702073246302476</v>
      </c>
      <c r="S119" s="219">
        <f t="shared" si="99"/>
        <v>2.4863893960562167</v>
      </c>
      <c r="T119" s="219">
        <f t="shared" si="99"/>
        <v>2.6937225623809677</v>
      </c>
      <c r="U119" s="219">
        <f t="shared" si="99"/>
        <v>2.7939945594166082</v>
      </c>
      <c r="V119" s="219">
        <f t="shared" si="99"/>
        <v>2.7939945594166082</v>
      </c>
      <c r="W119" s="219">
        <f t="shared" si="99"/>
        <v>2.7939945594166082</v>
      </c>
      <c r="X119" s="219">
        <f t="shared" si="99"/>
        <v>2.7939945594166082</v>
      </c>
    </row>
    <row r="120" spans="1:24" s="213" customFormat="1">
      <c r="B120" s="263"/>
      <c r="C120" s="211"/>
      <c r="F120" s="219"/>
      <c r="H120" s="624"/>
      <c r="N120" s="626"/>
      <c r="O120" s="626"/>
      <c r="P120" s="219"/>
      <c r="Q120" s="219"/>
      <c r="R120" s="219"/>
      <c r="S120" s="219"/>
      <c r="T120" s="219"/>
      <c r="U120" s="219"/>
      <c r="V120" s="219"/>
      <c r="W120" s="219"/>
      <c r="X120" s="219"/>
    </row>
    <row r="121" spans="1:24" ht="17" thickBot="1">
      <c r="A121" s="177" t="s">
        <v>10</v>
      </c>
      <c r="B121" s="610" t="s">
        <v>714</v>
      </c>
      <c r="C121" s="611"/>
      <c r="D121" s="610"/>
      <c r="E121" s="610"/>
      <c r="F121" s="610"/>
      <c r="G121" s="610"/>
      <c r="H121" s="612"/>
      <c r="I121" s="610"/>
      <c r="J121" s="610"/>
      <c r="K121" s="610"/>
      <c r="L121" s="610"/>
      <c r="M121" s="610"/>
      <c r="N121" s="613"/>
      <c r="O121" s="613"/>
      <c r="P121" s="610"/>
      <c r="Q121" s="610"/>
      <c r="R121" s="610"/>
      <c r="S121" s="610"/>
      <c r="T121" s="610"/>
      <c r="U121" s="610"/>
      <c r="V121" s="610"/>
      <c r="W121" s="610"/>
      <c r="X121" s="610"/>
    </row>
    <row r="122" spans="1:24" s="213" customFormat="1" outlineLevel="1">
      <c r="B122" s="184" t="s">
        <v>353</v>
      </c>
      <c r="C122" s="182" t="s">
        <v>354</v>
      </c>
      <c r="D122" s="674">
        <f>+Control!D73</f>
        <v>2024</v>
      </c>
      <c r="F122" s="219"/>
      <c r="H122" s="624"/>
      <c r="N122" s="626"/>
      <c r="O122" s="626"/>
      <c r="P122" s="219"/>
      <c r="Q122" s="219"/>
      <c r="R122" s="219"/>
      <c r="S122" s="219"/>
      <c r="T122" s="219"/>
      <c r="U122" s="219"/>
      <c r="V122" s="219"/>
      <c r="W122" s="219"/>
      <c r="X122" s="219"/>
    </row>
    <row r="123" spans="1:24" s="213" customFormat="1" outlineLevel="1">
      <c r="B123" s="184" t="s">
        <v>355</v>
      </c>
      <c r="C123" s="182" t="s">
        <v>67</v>
      </c>
      <c r="D123" s="675">
        <f>+Control!D76</f>
        <v>21.358342514285692</v>
      </c>
      <c r="F123" s="201"/>
      <c r="H123" s="624"/>
      <c r="N123" s="626"/>
      <c r="O123" s="651">
        <f>+D123</f>
        <v>21.358342514285692</v>
      </c>
      <c r="P123" s="201">
        <f>+O123</f>
        <v>21.358342514285692</v>
      </c>
      <c r="Q123" s="201">
        <f>+P123</f>
        <v>21.358342514285692</v>
      </c>
      <c r="R123" s="201">
        <f t="shared" ref="R123:X123" si="100">+Q123</f>
        <v>21.358342514285692</v>
      </c>
      <c r="S123" s="201">
        <f t="shared" si="100"/>
        <v>21.358342514285692</v>
      </c>
      <c r="T123" s="201">
        <f t="shared" si="100"/>
        <v>21.358342514285692</v>
      </c>
      <c r="U123" s="201">
        <f t="shared" si="100"/>
        <v>21.358342514285692</v>
      </c>
      <c r="V123" s="201">
        <f t="shared" si="100"/>
        <v>21.358342514285692</v>
      </c>
      <c r="W123" s="201">
        <f t="shared" si="100"/>
        <v>21.358342514285692</v>
      </c>
      <c r="X123" s="201">
        <f t="shared" si="100"/>
        <v>21.358342514285692</v>
      </c>
    </row>
    <row r="124" spans="1:24" s="213" customFormat="1" outlineLevel="1">
      <c r="B124" s="184" t="s">
        <v>377</v>
      </c>
      <c r="C124" s="182" t="s">
        <v>154</v>
      </c>
      <c r="D124" s="226"/>
      <c r="E124" s="405"/>
      <c r="F124" s="405"/>
      <c r="G124" s="405"/>
      <c r="H124" s="676"/>
      <c r="I124" s="405"/>
      <c r="J124" s="405"/>
      <c r="K124" s="405"/>
      <c r="L124" s="405"/>
      <c r="M124" s="405"/>
      <c r="N124" s="677"/>
      <c r="O124" s="677">
        <v>1</v>
      </c>
      <c r="P124" s="405"/>
      <c r="Q124" s="405"/>
      <c r="R124" s="405"/>
      <c r="S124" s="405"/>
      <c r="T124" s="405"/>
      <c r="U124" s="405"/>
      <c r="V124" s="405"/>
      <c r="W124" s="405"/>
      <c r="X124" s="405"/>
    </row>
    <row r="125" spans="1:24" s="213" customFormat="1" outlineLevel="1">
      <c r="B125" s="184" t="s">
        <v>392</v>
      </c>
      <c r="C125" s="182" t="s">
        <v>154</v>
      </c>
      <c r="D125" s="226"/>
      <c r="E125" s="405"/>
      <c r="F125" s="405"/>
      <c r="G125" s="405"/>
      <c r="H125" s="676"/>
      <c r="I125" s="405"/>
      <c r="J125" s="405"/>
      <c r="K125" s="405"/>
      <c r="L125" s="405"/>
      <c r="M125" s="405"/>
      <c r="N125" s="677"/>
      <c r="O125" s="677">
        <f>+IF(O130&gt;0,1,0)</f>
        <v>1</v>
      </c>
      <c r="P125" s="405">
        <f t="shared" ref="P125:X125" si="101">+IF(P130&gt;0,1,0)</f>
        <v>1</v>
      </c>
      <c r="Q125" s="405">
        <f t="shared" si="101"/>
        <v>1</v>
      </c>
      <c r="R125" s="405">
        <f t="shared" si="101"/>
        <v>1</v>
      </c>
      <c r="S125" s="405">
        <f t="shared" si="101"/>
        <v>1</v>
      </c>
      <c r="T125" s="405">
        <f t="shared" si="101"/>
        <v>1</v>
      </c>
      <c r="U125" s="405">
        <f t="shared" si="101"/>
        <v>1</v>
      </c>
      <c r="V125" s="405">
        <f t="shared" si="101"/>
        <v>1</v>
      </c>
      <c r="W125" s="405">
        <f t="shared" si="101"/>
        <v>1</v>
      </c>
      <c r="X125" s="405">
        <f t="shared" si="101"/>
        <v>1</v>
      </c>
    </row>
    <row r="126" spans="1:24" s="213" customFormat="1" outlineLevel="1">
      <c r="B126" s="184"/>
      <c r="C126" s="182"/>
      <c r="D126" s="226"/>
      <c r="E126" s="405"/>
      <c r="F126" s="405"/>
      <c r="G126" s="405"/>
      <c r="H126" s="676"/>
      <c r="I126" s="405"/>
      <c r="J126" s="405"/>
      <c r="K126" s="405"/>
      <c r="L126" s="405"/>
      <c r="M126" s="405"/>
      <c r="N126" s="677"/>
      <c r="O126" s="677"/>
      <c r="P126" s="405"/>
      <c r="Q126" s="405"/>
      <c r="R126" s="405"/>
      <c r="S126" s="405"/>
      <c r="T126" s="405"/>
      <c r="U126" s="405"/>
      <c r="V126" s="405"/>
      <c r="W126" s="405"/>
      <c r="X126" s="405"/>
    </row>
    <row r="127" spans="1:24" s="213" customFormat="1" outlineLevel="1">
      <c r="B127" s="184" t="s">
        <v>721</v>
      </c>
      <c r="C127" s="182" t="s">
        <v>67</v>
      </c>
      <c r="D127" s="226"/>
      <c r="E127" s="405"/>
      <c r="F127" s="201"/>
      <c r="G127" s="405"/>
      <c r="H127" s="676"/>
      <c r="I127" s="405"/>
      <c r="J127" s="405"/>
      <c r="K127" s="405"/>
      <c r="L127" s="405"/>
      <c r="M127" s="405"/>
      <c r="N127" s="677">
        <f>+SUM(H127:M127)</f>
        <v>0</v>
      </c>
      <c r="O127" s="651">
        <f>+N130</f>
        <v>21.358342514285692</v>
      </c>
      <c r="P127" s="201">
        <f t="shared" ref="P127:R127" si="102">+O130</f>
        <v>21.358342514285692</v>
      </c>
      <c r="Q127" s="201">
        <f t="shared" si="102"/>
        <v>21.358342514285692</v>
      </c>
      <c r="R127" s="201">
        <f t="shared" si="102"/>
        <v>21.358342514285692</v>
      </c>
      <c r="S127" s="201">
        <f t="shared" ref="S127" si="103">+R130</f>
        <v>21.358342514285692</v>
      </c>
      <c r="T127" s="201">
        <f t="shared" ref="T127" si="104">+S130</f>
        <v>21.358342514285692</v>
      </c>
      <c r="U127" s="201">
        <f t="shared" ref="U127" si="105">+T130</f>
        <v>21.358342514285692</v>
      </c>
      <c r="V127" s="201">
        <f t="shared" ref="V127" si="106">+U130</f>
        <v>21.358342514285692</v>
      </c>
      <c r="W127" s="201">
        <f t="shared" ref="W127" si="107">+V130</f>
        <v>21.358342514285692</v>
      </c>
      <c r="X127" s="201">
        <f t="shared" ref="X127" si="108">+W130</f>
        <v>21.358342514285692</v>
      </c>
    </row>
    <row r="128" spans="1:24" s="213" customFormat="1" outlineLevel="1">
      <c r="B128" s="184" t="s">
        <v>378</v>
      </c>
      <c r="C128" s="182" t="s">
        <v>67</v>
      </c>
      <c r="D128" s="226"/>
      <c r="E128" s="405"/>
      <c r="F128" s="201"/>
      <c r="G128" s="405"/>
      <c r="H128" s="676"/>
      <c r="I128" s="405"/>
      <c r="J128" s="405"/>
      <c r="K128" s="405"/>
      <c r="L128" s="405"/>
      <c r="M128" s="405"/>
      <c r="N128" s="677">
        <f t="shared" ref="N128:N130" si="109">+SUM(H128:M128)</f>
        <v>0</v>
      </c>
      <c r="O128" s="651"/>
      <c r="P128" s="201"/>
      <c r="Q128" s="201"/>
      <c r="R128" s="201"/>
      <c r="S128" s="201"/>
      <c r="T128" s="201"/>
      <c r="U128" s="201"/>
      <c r="V128" s="201"/>
      <c r="W128" s="201"/>
      <c r="X128" s="201"/>
    </row>
    <row r="129" spans="1:24" s="213" customFormat="1" outlineLevel="1">
      <c r="B129" s="216" t="s">
        <v>379</v>
      </c>
      <c r="C129" s="208" t="s">
        <v>67</v>
      </c>
      <c r="D129" s="678"/>
      <c r="E129" s="505"/>
      <c r="F129" s="294"/>
      <c r="G129" s="505"/>
      <c r="H129" s="679"/>
      <c r="I129" s="505"/>
      <c r="J129" s="505"/>
      <c r="K129" s="505"/>
      <c r="L129" s="505"/>
      <c r="M129" s="505"/>
      <c r="N129" s="680">
        <f t="shared" si="109"/>
        <v>0</v>
      </c>
      <c r="O129" s="632">
        <f>-O135</f>
        <v>0</v>
      </c>
      <c r="P129" s="294">
        <f>-P135</f>
        <v>0</v>
      </c>
      <c r="Q129" s="294">
        <f>-Q135</f>
        <v>0</v>
      </c>
      <c r="R129" s="294">
        <f t="shared" ref="R129" si="110">-R135</f>
        <v>0</v>
      </c>
      <c r="S129" s="294">
        <f>-S135</f>
        <v>0</v>
      </c>
      <c r="T129" s="294">
        <f t="shared" ref="T129:X129" si="111">-T135</f>
        <v>0</v>
      </c>
      <c r="U129" s="294">
        <f t="shared" si="111"/>
        <v>0</v>
      </c>
      <c r="V129" s="294">
        <f t="shared" si="111"/>
        <v>0</v>
      </c>
      <c r="W129" s="294">
        <f t="shared" si="111"/>
        <v>0</v>
      </c>
      <c r="X129" s="294">
        <f t="shared" si="111"/>
        <v>0</v>
      </c>
    </row>
    <row r="130" spans="1:24" s="213" customFormat="1" outlineLevel="1">
      <c r="B130" s="681" t="s">
        <v>722</v>
      </c>
      <c r="C130" s="211" t="s">
        <v>67</v>
      </c>
      <c r="D130" s="226"/>
      <c r="E130" s="682"/>
      <c r="F130" s="219"/>
      <c r="G130" s="682"/>
      <c r="H130" s="683"/>
      <c r="I130" s="682">
        <f>+I204</f>
        <v>21.358342514285692</v>
      </c>
      <c r="J130" s="682"/>
      <c r="K130" s="682"/>
      <c r="L130" s="682"/>
      <c r="M130" s="682"/>
      <c r="N130" s="684">
        <f t="shared" si="109"/>
        <v>21.358342514285692</v>
      </c>
      <c r="O130" s="626">
        <f>+SUM(O127:O129)</f>
        <v>21.358342514285692</v>
      </c>
      <c r="P130" s="219">
        <f t="shared" ref="P130:R130" si="112">+SUM(P127:P129)</f>
        <v>21.358342514285692</v>
      </c>
      <c r="Q130" s="219">
        <f t="shared" si="112"/>
        <v>21.358342514285692</v>
      </c>
      <c r="R130" s="219">
        <f t="shared" si="112"/>
        <v>21.358342514285692</v>
      </c>
      <c r="S130" s="219">
        <f>+SUM(S127:S129)</f>
        <v>21.358342514285692</v>
      </c>
      <c r="T130" s="219">
        <f t="shared" ref="T130:X130" si="113">+SUM(T127:T129)</f>
        <v>21.358342514285692</v>
      </c>
      <c r="U130" s="219">
        <f t="shared" si="113"/>
        <v>21.358342514285692</v>
      </c>
      <c r="V130" s="219">
        <f t="shared" si="113"/>
        <v>21.358342514285692</v>
      </c>
      <c r="W130" s="219">
        <f t="shared" si="113"/>
        <v>21.358342514285692</v>
      </c>
      <c r="X130" s="219">
        <f t="shared" si="113"/>
        <v>21.358342514285692</v>
      </c>
    </row>
    <row r="131" spans="1:24" s="213" customFormat="1" outlineLevel="1">
      <c r="B131" s="184"/>
      <c r="C131" s="182"/>
      <c r="D131" s="226"/>
      <c r="E131" s="405"/>
      <c r="F131" s="405"/>
      <c r="G131" s="405"/>
      <c r="H131" s="676"/>
      <c r="I131" s="405"/>
      <c r="J131" s="405"/>
      <c r="K131" s="405"/>
      <c r="L131" s="405"/>
      <c r="M131" s="405"/>
      <c r="N131" s="677"/>
      <c r="O131" s="677"/>
      <c r="P131" s="405"/>
      <c r="Q131" s="405"/>
      <c r="R131" s="405"/>
      <c r="S131" s="405"/>
      <c r="T131" s="405"/>
      <c r="U131" s="405"/>
      <c r="V131" s="405"/>
      <c r="W131" s="405"/>
      <c r="X131" s="405"/>
    </row>
    <row r="132" spans="1:24" s="213" customFormat="1" outlineLevel="1">
      <c r="A132" s="213" t="s">
        <v>24</v>
      </c>
      <c r="B132" s="184" t="s">
        <v>380</v>
      </c>
      <c r="C132" s="182" t="s">
        <v>67</v>
      </c>
      <c r="D132" s="226"/>
      <c r="E132" s="405"/>
      <c r="F132" s="201"/>
      <c r="G132" s="405"/>
      <c r="H132" s="676"/>
      <c r="I132" s="405"/>
      <c r="J132" s="405"/>
      <c r="K132" s="405"/>
      <c r="L132" s="405"/>
      <c r="M132" s="405"/>
      <c r="N132" s="677"/>
      <c r="O132" s="651">
        <f>SUM(O243,O246,O248)</f>
        <v>2.709874725714128</v>
      </c>
      <c r="P132" s="201">
        <f t="shared" ref="P132:X132" si="114">SUM(P243,P246,P248)</f>
        <v>-5.5203315490185574</v>
      </c>
      <c r="Q132" s="201">
        <f t="shared" si="114"/>
        <v>-3.6415091007099303</v>
      </c>
      <c r="R132" s="201">
        <f t="shared" si="114"/>
        <v>-1.6997526783631312</v>
      </c>
      <c r="S132" s="201">
        <f t="shared" si="114"/>
        <v>0.27641944487194436</v>
      </c>
      <c r="T132" s="201">
        <f t="shared" si="114"/>
        <v>2.2415633922860145</v>
      </c>
      <c r="U132" s="201">
        <f t="shared" si="114"/>
        <v>4.184028984385602</v>
      </c>
      <c r="V132" s="201">
        <f t="shared" si="114"/>
        <v>6.1123502493680366</v>
      </c>
      <c r="W132" s="201">
        <f t="shared" si="114"/>
        <v>8.0527060982258618</v>
      </c>
      <c r="X132" s="201">
        <f t="shared" si="114"/>
        <v>10.005207968475482</v>
      </c>
    </row>
    <row r="133" spans="1:24" s="213" customFormat="1" outlineLevel="1">
      <c r="B133" s="184" t="s">
        <v>356</v>
      </c>
      <c r="C133" s="182" t="s">
        <v>113</v>
      </c>
      <c r="D133" s="242">
        <f>+Control!D77</f>
        <v>5</v>
      </c>
      <c r="E133" s="405"/>
      <c r="F133" s="407"/>
      <c r="G133" s="405"/>
      <c r="H133" s="676"/>
      <c r="I133" s="405"/>
      <c r="J133" s="405"/>
      <c r="K133" s="405"/>
      <c r="L133" s="405"/>
      <c r="M133" s="405"/>
      <c r="N133" s="677"/>
      <c r="O133" s="685">
        <f>+D133</f>
        <v>5</v>
      </c>
      <c r="P133" s="407">
        <f>+O133</f>
        <v>5</v>
      </c>
      <c r="Q133" s="407">
        <f t="shared" ref="Q133:X133" si="115">+P133</f>
        <v>5</v>
      </c>
      <c r="R133" s="407">
        <f t="shared" si="115"/>
        <v>5</v>
      </c>
      <c r="S133" s="407">
        <f t="shared" si="115"/>
        <v>5</v>
      </c>
      <c r="T133" s="407">
        <f t="shared" si="115"/>
        <v>5</v>
      </c>
      <c r="U133" s="407">
        <f t="shared" si="115"/>
        <v>5</v>
      </c>
      <c r="V133" s="407">
        <f t="shared" si="115"/>
        <v>5</v>
      </c>
      <c r="W133" s="407">
        <f t="shared" si="115"/>
        <v>5</v>
      </c>
      <c r="X133" s="407">
        <f t="shared" si="115"/>
        <v>5</v>
      </c>
    </row>
    <row r="134" spans="1:24" s="213" customFormat="1" outlineLevel="1">
      <c r="B134" s="184"/>
      <c r="C134" s="182"/>
      <c r="D134" s="242"/>
      <c r="E134" s="405"/>
      <c r="F134" s="405"/>
      <c r="G134" s="405"/>
      <c r="H134" s="676"/>
      <c r="I134" s="405"/>
      <c r="J134" s="405"/>
      <c r="K134" s="405"/>
      <c r="L134" s="405"/>
      <c r="M134" s="405"/>
      <c r="N134" s="677"/>
      <c r="O134" s="685"/>
      <c r="P134" s="405"/>
      <c r="Q134" s="405"/>
      <c r="R134" s="405"/>
      <c r="S134" s="405"/>
      <c r="T134" s="405"/>
      <c r="U134" s="405"/>
      <c r="V134" s="405"/>
      <c r="W134" s="405"/>
      <c r="X134" s="405"/>
    </row>
    <row r="135" spans="1:24" s="213" customFormat="1" outlineLevel="1">
      <c r="A135" s="213" t="s">
        <v>386</v>
      </c>
      <c r="B135" s="184" t="s">
        <v>381</v>
      </c>
      <c r="C135" s="182" t="s">
        <v>67</v>
      </c>
      <c r="D135" s="242"/>
      <c r="E135" s="405"/>
      <c r="F135" s="405"/>
      <c r="G135" s="405"/>
      <c r="H135" s="676"/>
      <c r="I135" s="405"/>
      <c r="J135" s="405"/>
      <c r="K135" s="405"/>
      <c r="L135" s="405"/>
      <c r="M135" s="405"/>
      <c r="N135" s="677"/>
      <c r="O135" s="677">
        <f t="shared" ref="O135" si="116">IF(N130&gt;0.00001,MAX(MIN(N130,O137-O136),0),0)</f>
        <v>0</v>
      </c>
      <c r="P135" s="405">
        <f>IF(O130&gt;0.00001,MAX(MIN(O130,P137-P136),0),0)</f>
        <v>0</v>
      </c>
      <c r="Q135" s="405">
        <f t="shared" ref="Q135" si="117">IF(P130&gt;0.00001,MAX(MIN(P130,Q137-Q136),0),0)</f>
        <v>0</v>
      </c>
      <c r="R135" s="405">
        <f t="shared" ref="R135" si="118">IF(Q130&gt;0.00001,MAX(MIN(Q130,R137-R136),0),0)</f>
        <v>0</v>
      </c>
      <c r="S135" s="405">
        <f t="shared" ref="S135:X135" si="119">IF(R130&gt;0.00001,MAX(MIN(R130,S137-S136),0),0)</f>
        <v>0</v>
      </c>
      <c r="T135" s="405">
        <f t="shared" si="119"/>
        <v>0</v>
      </c>
      <c r="U135" s="405">
        <f t="shared" si="119"/>
        <v>0</v>
      </c>
      <c r="V135" s="405">
        <f t="shared" si="119"/>
        <v>0</v>
      </c>
      <c r="W135" s="405">
        <f t="shared" si="119"/>
        <v>0</v>
      </c>
      <c r="X135" s="405">
        <f t="shared" si="119"/>
        <v>0</v>
      </c>
    </row>
    <row r="136" spans="1:24" s="213" customFormat="1" outlineLevel="1">
      <c r="B136" s="216" t="s">
        <v>382</v>
      </c>
      <c r="C136" s="208" t="s">
        <v>67</v>
      </c>
      <c r="D136" s="686"/>
      <c r="E136" s="505"/>
      <c r="F136" s="505"/>
      <c r="G136" s="505"/>
      <c r="H136" s="679"/>
      <c r="I136" s="505"/>
      <c r="J136" s="505"/>
      <c r="K136" s="505"/>
      <c r="L136" s="505"/>
      <c r="M136" s="505"/>
      <c r="N136" s="680"/>
      <c r="O136" s="680">
        <f>O127*O145</f>
        <v>2.1270951223257684</v>
      </c>
      <c r="P136" s="505">
        <f t="shared" ref="P136:X136" si="120">P127*P145</f>
        <v>4.2182726465714246</v>
      </c>
      <c r="Q136" s="505">
        <f t="shared" si="120"/>
        <v>4.1221601052571391</v>
      </c>
      <c r="R136" s="505">
        <f t="shared" si="120"/>
        <v>4.0281833981942814</v>
      </c>
      <c r="S136" s="505">
        <f t="shared" si="120"/>
        <v>4.0324550666971382</v>
      </c>
      <c r="T136" s="505">
        <f t="shared" si="120"/>
        <v>4.0580850777142814</v>
      </c>
      <c r="U136" s="505">
        <f t="shared" si="120"/>
        <v>4.0580850777142814</v>
      </c>
      <c r="V136" s="505">
        <f t="shared" si="120"/>
        <v>4.0580850777142814</v>
      </c>
      <c r="W136" s="505">
        <f t="shared" si="120"/>
        <v>4.0580850777142814</v>
      </c>
      <c r="X136" s="505">
        <f t="shared" si="120"/>
        <v>4.0580850777142814</v>
      </c>
    </row>
    <row r="137" spans="1:24" s="213" customFormat="1" outlineLevel="1">
      <c r="B137" s="269" t="s">
        <v>398</v>
      </c>
      <c r="C137" s="211" t="s">
        <v>67</v>
      </c>
      <c r="D137" s="242"/>
      <c r="E137" s="405"/>
      <c r="F137" s="418"/>
      <c r="G137" s="405"/>
      <c r="H137" s="676"/>
      <c r="I137" s="405"/>
      <c r="J137" s="405"/>
      <c r="K137" s="405"/>
      <c r="L137" s="405"/>
      <c r="M137" s="405"/>
      <c r="N137" s="677"/>
      <c r="O137" s="687">
        <f>+O132/O133</f>
        <v>0.54197494514282563</v>
      </c>
      <c r="P137" s="418">
        <f t="shared" ref="P137:X137" si="121">+P132/P133</f>
        <v>-1.1040663098037116</v>
      </c>
      <c r="Q137" s="418">
        <f t="shared" si="121"/>
        <v>-0.72830182014198608</v>
      </c>
      <c r="R137" s="418">
        <f t="shared" si="121"/>
        <v>-0.33995053567262623</v>
      </c>
      <c r="S137" s="418">
        <f t="shared" si="121"/>
        <v>5.5283888974388871E-2</v>
      </c>
      <c r="T137" s="418">
        <f t="shared" si="121"/>
        <v>0.44831267845720291</v>
      </c>
      <c r="U137" s="418">
        <f t="shared" si="121"/>
        <v>0.83680579687712042</v>
      </c>
      <c r="V137" s="418">
        <f t="shared" si="121"/>
        <v>1.2224700498736074</v>
      </c>
      <c r="W137" s="418">
        <f t="shared" si="121"/>
        <v>1.6105412196451723</v>
      </c>
      <c r="X137" s="418">
        <f t="shared" si="121"/>
        <v>2.0010415936950965</v>
      </c>
    </row>
    <row r="138" spans="1:24" s="213" customFormat="1" outlineLevel="1">
      <c r="B138" s="269"/>
      <c r="C138" s="211"/>
      <c r="D138" s="242"/>
      <c r="E138" s="405"/>
      <c r="F138" s="418"/>
      <c r="G138" s="405"/>
      <c r="H138" s="676"/>
      <c r="I138" s="405"/>
      <c r="J138" s="405"/>
      <c r="K138" s="405"/>
      <c r="L138" s="405"/>
      <c r="M138" s="405"/>
      <c r="N138" s="677"/>
      <c r="O138" s="688"/>
      <c r="P138" s="418"/>
      <c r="Q138" s="418"/>
      <c r="R138" s="418"/>
      <c r="S138" s="418"/>
      <c r="T138" s="418"/>
      <c r="U138" s="418"/>
      <c r="V138" s="418"/>
      <c r="W138" s="418"/>
      <c r="X138" s="418"/>
    </row>
    <row r="139" spans="1:24" s="213" customFormat="1" outlineLevel="1">
      <c r="B139" s="184" t="s">
        <v>395</v>
      </c>
      <c r="C139" s="182" t="s">
        <v>67</v>
      </c>
      <c r="D139" s="242"/>
      <c r="E139" s="405"/>
      <c r="F139" s="543"/>
      <c r="G139" s="405"/>
      <c r="H139" s="676"/>
      <c r="I139" s="405"/>
      <c r="J139" s="405"/>
      <c r="K139" s="405"/>
      <c r="L139" s="405"/>
      <c r="M139" s="405"/>
      <c r="N139" s="677"/>
      <c r="O139" s="689">
        <f>+O136+O135</f>
        <v>2.1270951223257684</v>
      </c>
      <c r="P139" s="543">
        <f t="shared" ref="P139:X139" si="122">+P136+P135</f>
        <v>4.2182726465714246</v>
      </c>
      <c r="Q139" s="543">
        <f t="shared" si="122"/>
        <v>4.1221601052571391</v>
      </c>
      <c r="R139" s="543">
        <f t="shared" si="122"/>
        <v>4.0281833981942814</v>
      </c>
      <c r="S139" s="543">
        <f t="shared" si="122"/>
        <v>4.0324550666971382</v>
      </c>
      <c r="T139" s="543">
        <f t="shared" si="122"/>
        <v>4.0580850777142814</v>
      </c>
      <c r="U139" s="543">
        <f t="shared" si="122"/>
        <v>4.0580850777142814</v>
      </c>
      <c r="V139" s="543">
        <f t="shared" si="122"/>
        <v>4.0580850777142814</v>
      </c>
      <c r="W139" s="543">
        <f t="shared" si="122"/>
        <v>4.0580850777142814</v>
      </c>
      <c r="X139" s="543">
        <f t="shared" si="122"/>
        <v>4.0580850777142814</v>
      </c>
    </row>
    <row r="140" spans="1:24" s="213" customFormat="1" outlineLevel="1">
      <c r="B140" s="216" t="s">
        <v>396</v>
      </c>
      <c r="C140" s="208" t="s">
        <v>67</v>
      </c>
      <c r="D140" s="690" t="s">
        <v>399</v>
      </c>
      <c r="E140" s="505"/>
      <c r="F140" s="531"/>
      <c r="G140" s="505"/>
      <c r="H140" s="679"/>
      <c r="I140" s="505"/>
      <c r="J140" s="505"/>
      <c r="K140" s="505"/>
      <c r="L140" s="505"/>
      <c r="M140" s="505"/>
      <c r="N140" s="680"/>
      <c r="O140" s="691">
        <f>+O132</f>
        <v>2.709874725714128</v>
      </c>
      <c r="P140" s="531">
        <f t="shared" ref="P140:X140" si="123">+P132</f>
        <v>-5.5203315490185574</v>
      </c>
      <c r="Q140" s="531">
        <f t="shared" si="123"/>
        <v>-3.6415091007099303</v>
      </c>
      <c r="R140" s="531">
        <f t="shared" si="123"/>
        <v>-1.6997526783631312</v>
      </c>
      <c r="S140" s="531">
        <f t="shared" si="123"/>
        <v>0.27641944487194436</v>
      </c>
      <c r="T140" s="531">
        <f t="shared" si="123"/>
        <v>2.2415633922860145</v>
      </c>
      <c r="U140" s="531">
        <f t="shared" si="123"/>
        <v>4.184028984385602</v>
      </c>
      <c r="V140" s="531">
        <f t="shared" si="123"/>
        <v>6.1123502493680366</v>
      </c>
      <c r="W140" s="531">
        <f t="shared" si="123"/>
        <v>8.0527060982258618</v>
      </c>
      <c r="X140" s="531">
        <f t="shared" si="123"/>
        <v>10.005207968475482</v>
      </c>
    </row>
    <row r="141" spans="1:24" s="213" customFormat="1" outlineLevel="1">
      <c r="B141" s="269" t="s">
        <v>397</v>
      </c>
      <c r="C141" s="211" t="s">
        <v>113</v>
      </c>
      <c r="D141" s="692">
        <f>+AVERAGEIF(O141:X141,"&lt;&gt;0",O141:X141)</f>
        <v>0.62679746582917262</v>
      </c>
      <c r="E141" s="682"/>
      <c r="F141" s="693"/>
      <c r="G141" s="682"/>
      <c r="H141" s="683"/>
      <c r="I141" s="682"/>
      <c r="J141" s="682"/>
      <c r="K141" s="682"/>
      <c r="L141" s="682"/>
      <c r="M141" s="682"/>
      <c r="N141" s="684"/>
      <c r="O141" s="694">
        <f>IFERROR(+O140/O139,0)</f>
        <v>1.2739790981943242</v>
      </c>
      <c r="P141" s="693">
        <f t="shared" ref="P141:X141" si="124">IFERROR(+P140/P139,0)</f>
        <v>-1.3086711105564584</v>
      </c>
      <c r="Q141" s="693">
        <f t="shared" si="124"/>
        <v>-0.88339826880226768</v>
      </c>
      <c r="R141" s="693">
        <f t="shared" si="124"/>
        <v>-0.42196506721245147</v>
      </c>
      <c r="S141" s="693">
        <f t="shared" si="124"/>
        <v>6.8548673277183267E-2</v>
      </c>
      <c r="T141" s="693">
        <f t="shared" si="124"/>
        <v>0.55236973827778302</v>
      </c>
      <c r="U141" s="693">
        <f t="shared" si="124"/>
        <v>1.0310353046472496</v>
      </c>
      <c r="V141" s="693">
        <f t="shared" si="124"/>
        <v>1.5062154026624845</v>
      </c>
      <c r="W141" s="693">
        <f t="shared" si="124"/>
        <v>1.9843610826319966</v>
      </c>
      <c r="X141" s="693">
        <f t="shared" si="124"/>
        <v>2.4654998051718819</v>
      </c>
    </row>
    <row r="142" spans="1:24" s="213" customFormat="1" outlineLevel="1">
      <c r="B142" s="184"/>
      <c r="C142" s="182"/>
      <c r="D142" s="242"/>
      <c r="E142" s="405"/>
      <c r="F142" s="405"/>
      <c r="G142" s="405"/>
      <c r="H142" s="676"/>
      <c r="I142" s="405"/>
      <c r="J142" s="405"/>
      <c r="K142" s="405"/>
      <c r="L142" s="405"/>
      <c r="M142" s="405"/>
      <c r="N142" s="677"/>
      <c r="O142" s="685"/>
      <c r="P142" s="405"/>
      <c r="Q142" s="405"/>
      <c r="R142" s="405"/>
      <c r="S142" s="405"/>
      <c r="T142" s="405"/>
      <c r="U142" s="405"/>
      <c r="V142" s="405"/>
      <c r="W142" s="405"/>
      <c r="X142" s="405"/>
    </row>
    <row r="143" spans="1:24" s="213" customFormat="1" outlineLevel="1">
      <c r="B143" s="184" t="s">
        <v>384</v>
      </c>
      <c r="C143" s="182" t="s">
        <v>14</v>
      </c>
      <c r="D143" s="242"/>
      <c r="E143" s="405"/>
      <c r="F143" s="241"/>
      <c r="G143" s="405"/>
      <c r="H143" s="676"/>
      <c r="I143" s="405"/>
      <c r="J143" s="405"/>
      <c r="K143" s="405"/>
      <c r="L143" s="405"/>
      <c r="M143" s="405"/>
      <c r="N143" s="677"/>
      <c r="O143" s="695">
        <f>+Macros!F9</f>
        <v>4.9100000000000005E-2</v>
      </c>
      <c r="P143" s="241">
        <f>+Macros!G9</f>
        <v>3.7499999999999999E-2</v>
      </c>
      <c r="Q143" s="241">
        <f>+Macros!H9</f>
        <v>3.3000000000000002E-2</v>
      </c>
      <c r="R143" s="241">
        <f>+Macros!I9</f>
        <v>2.86E-2</v>
      </c>
      <c r="S143" s="241">
        <f>+Macros!J9</f>
        <v>2.8799999999999999E-2</v>
      </c>
      <c r="T143" s="241">
        <f>+Macros!K9</f>
        <v>0.03</v>
      </c>
      <c r="U143" s="241">
        <f>+Macros!L9</f>
        <v>0.03</v>
      </c>
      <c r="V143" s="241">
        <f>+Macros!M9</f>
        <v>0.03</v>
      </c>
      <c r="W143" s="241">
        <f>+Macros!N9</f>
        <v>0.03</v>
      </c>
      <c r="X143" s="241">
        <f>+Macros!O9</f>
        <v>0.03</v>
      </c>
    </row>
    <row r="144" spans="1:24" s="213" customFormat="1" outlineLevel="1">
      <c r="B144" s="216" t="s">
        <v>357</v>
      </c>
      <c r="C144" s="208" t="s">
        <v>385</v>
      </c>
      <c r="D144" s="686"/>
      <c r="E144" s="505"/>
      <c r="F144" s="696"/>
      <c r="G144" s="505"/>
      <c r="H144" s="679"/>
      <c r="I144" s="505"/>
      <c r="J144" s="505"/>
      <c r="K144" s="505"/>
      <c r="L144" s="505"/>
      <c r="M144" s="505"/>
      <c r="N144" s="680"/>
      <c r="O144" s="697">
        <f>+Control!D79</f>
        <v>0.16</v>
      </c>
      <c r="P144" s="698">
        <f>+O144</f>
        <v>0.16</v>
      </c>
      <c r="Q144" s="696">
        <f>+P144</f>
        <v>0.16</v>
      </c>
      <c r="R144" s="696">
        <f t="shared" ref="R144:X144" si="125">+Q144</f>
        <v>0.16</v>
      </c>
      <c r="S144" s="696">
        <f t="shared" si="125"/>
        <v>0.16</v>
      </c>
      <c r="T144" s="696">
        <f t="shared" si="125"/>
        <v>0.16</v>
      </c>
      <c r="U144" s="696">
        <f t="shared" si="125"/>
        <v>0.16</v>
      </c>
      <c r="V144" s="696">
        <f t="shared" si="125"/>
        <v>0.16</v>
      </c>
      <c r="W144" s="696">
        <f t="shared" si="125"/>
        <v>0.16</v>
      </c>
      <c r="X144" s="696">
        <f t="shared" si="125"/>
        <v>0.16</v>
      </c>
    </row>
    <row r="145" spans="2:24" s="213" customFormat="1" outlineLevel="1">
      <c r="B145" s="269" t="s">
        <v>383</v>
      </c>
      <c r="C145" s="211" t="s">
        <v>14</v>
      </c>
      <c r="D145" s="699"/>
      <c r="E145" s="682"/>
      <c r="F145" s="700"/>
      <c r="G145" s="682"/>
      <c r="H145" s="683"/>
      <c r="I145" s="682"/>
      <c r="J145" s="682"/>
      <c r="K145" s="682"/>
      <c r="L145" s="682"/>
      <c r="M145" s="682"/>
      <c r="N145" s="684"/>
      <c r="O145" s="701">
        <f>(1+(O143+O144))^(1/2)-1</f>
        <v>9.9590832991981681E-2</v>
      </c>
      <c r="P145" s="700">
        <f t="shared" ref="P145:X145" si="126">+P143+P144</f>
        <v>0.19750000000000001</v>
      </c>
      <c r="Q145" s="700">
        <f t="shared" si="126"/>
        <v>0.193</v>
      </c>
      <c r="R145" s="700">
        <f t="shared" si="126"/>
        <v>0.18859999999999999</v>
      </c>
      <c r="S145" s="700">
        <f t="shared" si="126"/>
        <v>0.1888</v>
      </c>
      <c r="T145" s="700">
        <f t="shared" si="126"/>
        <v>0.19</v>
      </c>
      <c r="U145" s="700">
        <f t="shared" si="126"/>
        <v>0.19</v>
      </c>
      <c r="V145" s="700">
        <f t="shared" si="126"/>
        <v>0.19</v>
      </c>
      <c r="W145" s="700">
        <f t="shared" si="126"/>
        <v>0.19</v>
      </c>
      <c r="X145" s="700">
        <f t="shared" si="126"/>
        <v>0.19</v>
      </c>
    </row>
    <row r="146" spans="2:24" s="213" customFormat="1" outlineLevel="1">
      <c r="B146" s="184"/>
      <c r="C146" s="182"/>
      <c r="D146" s="242"/>
      <c r="E146" s="405"/>
      <c r="F146" s="405"/>
      <c r="G146" s="405"/>
      <c r="H146" s="676"/>
      <c r="I146" s="405"/>
      <c r="J146" s="405"/>
      <c r="K146" s="405"/>
      <c r="L146" s="405"/>
      <c r="M146" s="405"/>
      <c r="N146" s="677"/>
      <c r="O146" s="702"/>
      <c r="P146" s="405"/>
      <c r="Q146" s="405"/>
      <c r="R146" s="405"/>
      <c r="S146" s="405"/>
      <c r="T146" s="405"/>
      <c r="U146" s="405"/>
      <c r="V146" s="405"/>
      <c r="W146" s="405"/>
      <c r="X146" s="405"/>
    </row>
    <row r="147" spans="2:24" s="213" customFormat="1" outlineLevel="1">
      <c r="B147" s="269" t="s">
        <v>723</v>
      </c>
      <c r="C147" s="182"/>
      <c r="D147" s="241"/>
      <c r="E147" s="405"/>
      <c r="F147" s="405"/>
      <c r="G147" s="405"/>
      <c r="H147" s="676"/>
      <c r="I147" s="405"/>
      <c r="J147" s="405"/>
      <c r="K147" s="405"/>
      <c r="L147" s="405"/>
      <c r="M147" s="405"/>
      <c r="N147" s="677"/>
      <c r="O147" s="685"/>
      <c r="P147" s="405"/>
      <c r="Q147" s="405"/>
      <c r="R147" s="405"/>
      <c r="S147" s="405"/>
      <c r="T147" s="405"/>
      <c r="U147" s="405"/>
      <c r="V147" s="405"/>
      <c r="W147" s="405"/>
      <c r="X147" s="405"/>
    </row>
    <row r="148" spans="2:24" s="213" customFormat="1" outlineLevel="1">
      <c r="B148" s="184" t="s">
        <v>359</v>
      </c>
      <c r="C148" s="182" t="s">
        <v>67</v>
      </c>
      <c r="D148" s="241">
        <f>+Control!D80</f>
        <v>0.03</v>
      </c>
      <c r="E148" s="405"/>
      <c r="F148" s="405"/>
      <c r="G148" s="405"/>
      <c r="H148" s="676"/>
      <c r="I148" s="405"/>
      <c r="J148" s="405"/>
      <c r="K148" s="405"/>
      <c r="L148" s="405"/>
      <c r="M148" s="405"/>
      <c r="N148" s="677"/>
      <c r="O148" s="677">
        <f>O124*-O123*$D$148</f>
        <v>-0.64075027542857077</v>
      </c>
      <c r="P148" s="405">
        <f t="shared" ref="P148:X148" si="127">P124*-P123*$D$148</f>
        <v>0</v>
      </c>
      <c r="Q148" s="405">
        <f t="shared" si="127"/>
        <v>0</v>
      </c>
      <c r="R148" s="405">
        <f t="shared" si="127"/>
        <v>0</v>
      </c>
      <c r="S148" s="405">
        <f t="shared" si="127"/>
        <v>0</v>
      </c>
      <c r="T148" s="405">
        <f t="shared" si="127"/>
        <v>0</v>
      </c>
      <c r="U148" s="405">
        <f t="shared" si="127"/>
        <v>0</v>
      </c>
      <c r="V148" s="405">
        <f t="shared" si="127"/>
        <v>0</v>
      </c>
      <c r="W148" s="405">
        <f t="shared" si="127"/>
        <v>0</v>
      </c>
      <c r="X148" s="405">
        <f t="shared" si="127"/>
        <v>0</v>
      </c>
    </row>
    <row r="149" spans="2:24" s="213" customFormat="1" outlineLevel="1">
      <c r="B149" s="184" t="str">
        <f>+Control!B81</f>
        <v>Legal Fees</v>
      </c>
      <c r="C149" s="182" t="s">
        <v>67</v>
      </c>
      <c r="D149" s="703">
        <f>+Control!D81</f>
        <v>0.15</v>
      </c>
      <c r="E149" s="405"/>
      <c r="F149" s="405"/>
      <c r="G149" s="405"/>
      <c r="H149" s="676"/>
      <c r="I149" s="405"/>
      <c r="J149" s="405"/>
      <c r="K149" s="405"/>
      <c r="L149" s="405"/>
      <c r="M149" s="405"/>
      <c r="N149" s="677"/>
      <c r="O149" s="677">
        <f>-O$124*$D149</f>
        <v>-0.15</v>
      </c>
      <c r="P149" s="405">
        <f t="shared" ref="P149:X150" si="128">-P$124*$D149</f>
        <v>0</v>
      </c>
      <c r="Q149" s="405">
        <f t="shared" si="128"/>
        <v>0</v>
      </c>
      <c r="R149" s="405">
        <f t="shared" si="128"/>
        <v>0</v>
      </c>
      <c r="S149" s="405">
        <f t="shared" si="128"/>
        <v>0</v>
      </c>
      <c r="T149" s="405">
        <f t="shared" si="128"/>
        <v>0</v>
      </c>
      <c r="U149" s="405">
        <f t="shared" si="128"/>
        <v>0</v>
      </c>
      <c r="V149" s="405">
        <f t="shared" si="128"/>
        <v>0</v>
      </c>
      <c r="W149" s="405">
        <f t="shared" si="128"/>
        <v>0</v>
      </c>
      <c r="X149" s="405">
        <f t="shared" si="128"/>
        <v>0</v>
      </c>
    </row>
    <row r="150" spans="2:24" s="213" customFormat="1" outlineLevel="1">
      <c r="B150" s="216" t="str">
        <f>+Control!B82</f>
        <v>Other Fees</v>
      </c>
      <c r="C150" s="208" t="s">
        <v>67</v>
      </c>
      <c r="D150" s="704">
        <f>+Control!D82</f>
        <v>0.15</v>
      </c>
      <c r="E150" s="505"/>
      <c r="F150" s="505"/>
      <c r="G150" s="505"/>
      <c r="H150" s="679"/>
      <c r="I150" s="505"/>
      <c r="J150" s="505"/>
      <c r="K150" s="505"/>
      <c r="L150" s="505"/>
      <c r="M150" s="505"/>
      <c r="N150" s="680"/>
      <c r="O150" s="680">
        <f>-O$124*$D150</f>
        <v>-0.15</v>
      </c>
      <c r="P150" s="505">
        <f t="shared" si="128"/>
        <v>0</v>
      </c>
      <c r="Q150" s="505">
        <f t="shared" si="128"/>
        <v>0</v>
      </c>
      <c r="R150" s="505">
        <f t="shared" si="128"/>
        <v>0</v>
      </c>
      <c r="S150" s="505">
        <f t="shared" si="128"/>
        <v>0</v>
      </c>
      <c r="T150" s="505">
        <f t="shared" si="128"/>
        <v>0</v>
      </c>
      <c r="U150" s="505">
        <f t="shared" si="128"/>
        <v>0</v>
      </c>
      <c r="V150" s="505">
        <f t="shared" si="128"/>
        <v>0</v>
      </c>
      <c r="W150" s="505">
        <f t="shared" si="128"/>
        <v>0</v>
      </c>
      <c r="X150" s="505">
        <f t="shared" si="128"/>
        <v>0</v>
      </c>
    </row>
    <row r="151" spans="2:24" s="213" customFormat="1" outlineLevel="1">
      <c r="B151" s="269" t="s">
        <v>390</v>
      </c>
      <c r="C151" s="211" t="s">
        <v>67</v>
      </c>
      <c r="D151" s="699"/>
      <c r="E151" s="682"/>
      <c r="F151" s="682"/>
      <c r="G151" s="682"/>
      <c r="H151" s="683"/>
      <c r="I151" s="682"/>
      <c r="J151" s="682"/>
      <c r="K151" s="682"/>
      <c r="L151" s="682"/>
      <c r="M151" s="682"/>
      <c r="N151" s="684"/>
      <c r="O151" s="684">
        <f>SUM(O148:O150)</f>
        <v>-0.94075027542857081</v>
      </c>
      <c r="P151" s="682">
        <f t="shared" ref="P151:X151" si="129">SUM(P148:P150)</f>
        <v>0</v>
      </c>
      <c r="Q151" s="682">
        <f t="shared" si="129"/>
        <v>0</v>
      </c>
      <c r="R151" s="682">
        <f t="shared" si="129"/>
        <v>0</v>
      </c>
      <c r="S151" s="682">
        <f t="shared" si="129"/>
        <v>0</v>
      </c>
      <c r="T151" s="682">
        <f t="shared" si="129"/>
        <v>0</v>
      </c>
      <c r="U151" s="682">
        <f t="shared" si="129"/>
        <v>0</v>
      </c>
      <c r="V151" s="682">
        <f t="shared" si="129"/>
        <v>0</v>
      </c>
      <c r="W151" s="682">
        <f t="shared" si="129"/>
        <v>0</v>
      </c>
      <c r="X151" s="682">
        <f t="shared" si="129"/>
        <v>0</v>
      </c>
    </row>
    <row r="152" spans="2:24" s="213" customFormat="1" outlineLevel="1">
      <c r="B152" s="269"/>
      <c r="C152" s="211"/>
      <c r="F152" s="219"/>
      <c r="H152" s="624"/>
      <c r="N152" s="626"/>
      <c r="O152" s="626"/>
      <c r="P152" s="219"/>
      <c r="Q152" s="219"/>
      <c r="R152" s="219"/>
      <c r="S152" s="219"/>
      <c r="T152" s="219"/>
      <c r="U152" s="219"/>
      <c r="V152" s="219"/>
      <c r="W152" s="219"/>
      <c r="X152" s="219"/>
    </row>
    <row r="153" spans="2:24" s="213" customFormat="1" outlineLevel="1">
      <c r="B153" s="269" t="s">
        <v>387</v>
      </c>
      <c r="C153" s="211"/>
      <c r="F153" s="219"/>
      <c r="H153" s="624"/>
      <c r="N153" s="626"/>
      <c r="O153" s="626"/>
      <c r="P153" s="219"/>
      <c r="Q153" s="219"/>
      <c r="R153" s="219"/>
      <c r="S153" s="219"/>
      <c r="T153" s="219"/>
      <c r="U153" s="219"/>
      <c r="V153" s="219"/>
      <c r="W153" s="219"/>
      <c r="X153" s="219"/>
    </row>
    <row r="154" spans="2:24" s="213" customFormat="1" outlineLevel="1">
      <c r="B154" s="184" t="str">
        <f>+B128</f>
        <v>Disbursements</v>
      </c>
      <c r="C154" s="182" t="s">
        <v>67</v>
      </c>
      <c r="F154" s="201"/>
      <c r="H154" s="624"/>
      <c r="N154" s="626"/>
      <c r="O154" s="626">
        <f>+N158</f>
        <v>21.358342514285692</v>
      </c>
      <c r="P154" s="201">
        <f t="shared" ref="P154:X154" si="130">+P128</f>
        <v>0</v>
      </c>
      <c r="Q154" s="201">
        <f t="shared" si="130"/>
        <v>0</v>
      </c>
      <c r="R154" s="201">
        <f t="shared" si="130"/>
        <v>0</v>
      </c>
      <c r="S154" s="201">
        <f t="shared" si="130"/>
        <v>0</v>
      </c>
      <c r="T154" s="201">
        <f t="shared" si="130"/>
        <v>0</v>
      </c>
      <c r="U154" s="201">
        <f t="shared" si="130"/>
        <v>0</v>
      </c>
      <c r="V154" s="201">
        <f t="shared" si="130"/>
        <v>0</v>
      </c>
      <c r="W154" s="201">
        <f t="shared" si="130"/>
        <v>0</v>
      </c>
      <c r="X154" s="201">
        <f t="shared" si="130"/>
        <v>0</v>
      </c>
    </row>
    <row r="155" spans="2:24" s="213" customFormat="1" outlineLevel="1">
      <c r="B155" s="184" t="str">
        <f>+B129</f>
        <v>Amortization</v>
      </c>
      <c r="C155" s="182" t="s">
        <v>67</v>
      </c>
      <c r="F155" s="201"/>
      <c r="H155" s="624"/>
      <c r="N155" s="626"/>
      <c r="O155" s="651">
        <f>+O129</f>
        <v>0</v>
      </c>
      <c r="P155" s="201">
        <f t="shared" ref="P155:X155" si="131">+P129</f>
        <v>0</v>
      </c>
      <c r="Q155" s="201">
        <f t="shared" si="131"/>
        <v>0</v>
      </c>
      <c r="R155" s="201">
        <f t="shared" si="131"/>
        <v>0</v>
      </c>
      <c r="S155" s="201">
        <f t="shared" si="131"/>
        <v>0</v>
      </c>
      <c r="T155" s="201">
        <f t="shared" si="131"/>
        <v>0</v>
      </c>
      <c r="U155" s="201">
        <f t="shared" si="131"/>
        <v>0</v>
      </c>
      <c r="V155" s="201">
        <f t="shared" si="131"/>
        <v>0</v>
      </c>
      <c r="W155" s="201">
        <f t="shared" si="131"/>
        <v>0</v>
      </c>
      <c r="X155" s="201">
        <f t="shared" si="131"/>
        <v>0</v>
      </c>
    </row>
    <row r="156" spans="2:24" s="213" customFormat="1" outlineLevel="1">
      <c r="B156" s="184" t="str">
        <f>+B136</f>
        <v>Interests</v>
      </c>
      <c r="C156" s="182" t="s">
        <v>67</v>
      </c>
      <c r="F156" s="201"/>
      <c r="H156" s="624"/>
      <c r="N156" s="626"/>
      <c r="O156" s="651">
        <f>-O136</f>
        <v>-2.1270951223257684</v>
      </c>
      <c r="P156" s="201">
        <f t="shared" ref="P156:X156" si="132">-P136</f>
        <v>-4.2182726465714246</v>
      </c>
      <c r="Q156" s="201">
        <f t="shared" si="132"/>
        <v>-4.1221601052571391</v>
      </c>
      <c r="R156" s="201">
        <f t="shared" si="132"/>
        <v>-4.0281833981942814</v>
      </c>
      <c r="S156" s="201">
        <f t="shared" si="132"/>
        <v>-4.0324550666971382</v>
      </c>
      <c r="T156" s="201">
        <f t="shared" si="132"/>
        <v>-4.0580850777142814</v>
      </c>
      <c r="U156" s="201">
        <f t="shared" si="132"/>
        <v>-4.0580850777142814</v>
      </c>
      <c r="V156" s="201">
        <f t="shared" si="132"/>
        <v>-4.0580850777142814</v>
      </c>
      <c r="W156" s="201">
        <f t="shared" si="132"/>
        <v>-4.0580850777142814</v>
      </c>
      <c r="X156" s="201">
        <f t="shared" si="132"/>
        <v>-4.0580850777142814</v>
      </c>
    </row>
    <row r="157" spans="2:24" s="213" customFormat="1" outlineLevel="1">
      <c r="B157" s="216" t="str">
        <f>+B151</f>
        <v>Debt Expenses</v>
      </c>
      <c r="C157" s="208" t="s">
        <v>67</v>
      </c>
      <c r="D157" s="322"/>
      <c r="E157" s="322"/>
      <c r="F157" s="705"/>
      <c r="G157" s="322"/>
      <c r="H157" s="672"/>
      <c r="I157" s="322"/>
      <c r="J157" s="322"/>
      <c r="K157" s="322"/>
      <c r="L157" s="322"/>
      <c r="M157" s="322"/>
      <c r="N157" s="673"/>
      <c r="O157" s="632">
        <f>+O151</f>
        <v>-0.94075027542857081</v>
      </c>
      <c r="P157" s="705">
        <f t="shared" ref="P157:X157" si="133">+P151</f>
        <v>0</v>
      </c>
      <c r="Q157" s="705">
        <f t="shared" si="133"/>
        <v>0</v>
      </c>
      <c r="R157" s="705">
        <f t="shared" si="133"/>
        <v>0</v>
      </c>
      <c r="S157" s="705">
        <f t="shared" si="133"/>
        <v>0</v>
      </c>
      <c r="T157" s="705">
        <f t="shared" si="133"/>
        <v>0</v>
      </c>
      <c r="U157" s="705">
        <f t="shared" si="133"/>
        <v>0</v>
      </c>
      <c r="V157" s="705">
        <f t="shared" si="133"/>
        <v>0</v>
      </c>
      <c r="W157" s="705">
        <f t="shared" si="133"/>
        <v>0</v>
      </c>
      <c r="X157" s="705">
        <f t="shared" si="133"/>
        <v>0</v>
      </c>
    </row>
    <row r="158" spans="2:24" s="213" customFormat="1" outlineLevel="1">
      <c r="B158" s="681" t="s">
        <v>724</v>
      </c>
      <c r="C158" s="211" t="s">
        <v>67</v>
      </c>
      <c r="F158" s="219"/>
      <c r="H158" s="624"/>
      <c r="N158" s="626">
        <f>+N130</f>
        <v>21.358342514285692</v>
      </c>
      <c r="O158" s="626">
        <f>+SUM(O154:O157)</f>
        <v>18.290497116531352</v>
      </c>
      <c r="P158" s="219">
        <f t="shared" ref="P158:X158" si="134">+SUM(P154:P157)</f>
        <v>-4.2182726465714246</v>
      </c>
      <c r="Q158" s="219">
        <f t="shared" si="134"/>
        <v>-4.1221601052571391</v>
      </c>
      <c r="R158" s="219">
        <f t="shared" si="134"/>
        <v>-4.0281833981942814</v>
      </c>
      <c r="S158" s="219">
        <f t="shared" si="134"/>
        <v>-4.0324550666971382</v>
      </c>
      <c r="T158" s="219">
        <f t="shared" si="134"/>
        <v>-4.0580850777142814</v>
      </c>
      <c r="U158" s="219">
        <f t="shared" si="134"/>
        <v>-4.0580850777142814</v>
      </c>
      <c r="V158" s="219">
        <f t="shared" si="134"/>
        <v>-4.0580850777142814</v>
      </c>
      <c r="W158" s="219">
        <f t="shared" si="134"/>
        <v>-4.0580850777142814</v>
      </c>
      <c r="X158" s="219">
        <f t="shared" si="134"/>
        <v>-4.0580850777142814</v>
      </c>
    </row>
    <row r="159" spans="2:24" s="213" customFormat="1" outlineLevel="1">
      <c r="B159" s="184"/>
      <c r="C159" s="211"/>
      <c r="F159" s="219"/>
      <c r="H159" s="624"/>
      <c r="N159" s="626"/>
      <c r="O159" s="626"/>
      <c r="P159" s="219"/>
      <c r="Q159" s="219"/>
      <c r="R159" s="219"/>
      <c r="S159" s="219"/>
      <c r="T159" s="219"/>
      <c r="U159" s="219"/>
      <c r="V159" s="219"/>
      <c r="W159" s="219"/>
      <c r="X159" s="219"/>
    </row>
    <row r="160" spans="2:24" s="419" customFormat="1" outlineLevel="1">
      <c r="B160" s="401" t="s">
        <v>391</v>
      </c>
      <c r="C160" s="211" t="s">
        <v>14</v>
      </c>
      <c r="D160" s="706">
        <f>+IRR(O158:X158)</f>
        <v>0.1687335662136471</v>
      </c>
      <c r="F160" s="682"/>
      <c r="H160" s="707"/>
      <c r="N160" s="684"/>
      <c r="O160" s="708"/>
      <c r="P160" s="682"/>
      <c r="Q160" s="682"/>
      <c r="R160" s="682"/>
      <c r="S160" s="682"/>
      <c r="T160" s="682"/>
      <c r="U160" s="682"/>
      <c r="V160" s="682"/>
      <c r="W160" s="682"/>
      <c r="X160" s="682"/>
    </row>
    <row r="161" spans="1:24" s="419" customFormat="1">
      <c r="B161" s="401"/>
      <c r="C161" s="211"/>
      <c r="D161" s="706"/>
      <c r="F161" s="682"/>
      <c r="H161" s="707"/>
      <c r="N161" s="684"/>
      <c r="O161" s="708"/>
      <c r="P161" s="682"/>
      <c r="Q161" s="682"/>
      <c r="R161" s="682"/>
      <c r="S161" s="682"/>
      <c r="T161" s="682"/>
      <c r="U161" s="682"/>
      <c r="V161" s="682"/>
      <c r="W161" s="682"/>
      <c r="X161" s="682"/>
    </row>
    <row r="162" spans="1:24" ht="17" thickBot="1">
      <c r="A162" s="177" t="s">
        <v>10</v>
      </c>
      <c r="B162" s="610" t="s">
        <v>539</v>
      </c>
      <c r="C162" s="611"/>
      <c r="D162" s="610"/>
      <c r="E162" s="610"/>
      <c r="F162" s="610"/>
      <c r="G162" s="610"/>
      <c r="H162" s="612"/>
      <c r="I162" s="610"/>
      <c r="J162" s="610"/>
      <c r="K162" s="610"/>
      <c r="L162" s="610"/>
      <c r="M162" s="610"/>
      <c r="N162" s="613"/>
      <c r="O162" s="613"/>
      <c r="P162" s="610"/>
      <c r="Q162" s="610"/>
      <c r="R162" s="610"/>
      <c r="S162" s="610"/>
      <c r="T162" s="610"/>
      <c r="U162" s="610"/>
      <c r="V162" s="610"/>
      <c r="W162" s="610"/>
      <c r="X162" s="610"/>
    </row>
    <row r="163" spans="1:24" s="419" customFormat="1" outlineLevel="1">
      <c r="B163" s="184" t="str">
        <f>+B174</f>
        <v>Revenue</v>
      </c>
      <c r="C163" s="182" t="s">
        <v>67</v>
      </c>
      <c r="D163" s="706"/>
      <c r="F163" s="214"/>
      <c r="H163" s="707"/>
      <c r="N163" s="684"/>
      <c r="O163" s="709">
        <f>+'Value Creation Plan'!J72</f>
        <v>0</v>
      </c>
      <c r="P163" s="214">
        <f>+'Value Creation Plan'!K72</f>
        <v>32</v>
      </c>
      <c r="Q163" s="214">
        <f>+'Value Creation Plan'!L72</f>
        <v>64</v>
      </c>
      <c r="R163" s="214">
        <f>+'Value Creation Plan'!M72</f>
        <v>96</v>
      </c>
      <c r="S163" s="214">
        <f>+'Value Creation Plan'!N72</f>
        <v>128</v>
      </c>
      <c r="T163" s="214">
        <f>+'Value Creation Plan'!O72</f>
        <v>160</v>
      </c>
      <c r="U163" s="214">
        <f>+'Value Creation Plan'!P72</f>
        <v>192</v>
      </c>
      <c r="V163" s="214">
        <f>+'Value Creation Plan'!Q72</f>
        <v>224</v>
      </c>
      <c r="W163" s="214">
        <f>+'Value Creation Plan'!R72</f>
        <v>256</v>
      </c>
      <c r="X163" s="214">
        <f>+'Value Creation Plan'!S72</f>
        <v>288</v>
      </c>
    </row>
    <row r="164" spans="1:24" s="419" customFormat="1" outlineLevel="1">
      <c r="B164" s="184" t="str">
        <f>+B175</f>
        <v>Costs</v>
      </c>
      <c r="C164" s="182" t="s">
        <v>67</v>
      </c>
      <c r="D164" s="706"/>
      <c r="F164" s="214"/>
      <c r="H164" s="707"/>
      <c r="N164" s="684"/>
      <c r="O164" s="709">
        <f>+'Value Creation Plan'!J78</f>
        <v>0</v>
      </c>
      <c r="P164" s="214">
        <f>+'Value Creation Plan'!K78</f>
        <v>-11.516511077747079</v>
      </c>
      <c r="Q164" s="214">
        <f>+'Value Creation Plan'!L78</f>
        <v>-23.033022155494159</v>
      </c>
      <c r="R164" s="214">
        <f>+'Value Creation Plan'!M78</f>
        <v>-34.549533233241235</v>
      </c>
      <c r="S164" s="214">
        <f>+'Value Creation Plan'!N78</f>
        <v>-46.066044310988318</v>
      </c>
      <c r="T164" s="214">
        <f>+'Value Creation Plan'!O78</f>
        <v>-57.5825553887354</v>
      </c>
      <c r="U164" s="214">
        <f>+'Value Creation Plan'!P78</f>
        <v>-69.099066466482469</v>
      </c>
      <c r="V164" s="214">
        <f>+'Value Creation Plan'!Q78</f>
        <v>-80.615577544229552</v>
      </c>
      <c r="W164" s="214">
        <f>+'Value Creation Plan'!R78</f>
        <v>-92.132088621976635</v>
      </c>
      <c r="X164" s="214">
        <f>+'Value Creation Plan'!S78</f>
        <v>-103.64859969972372</v>
      </c>
    </row>
    <row r="165" spans="1:24" s="419" customFormat="1" outlineLevel="1">
      <c r="B165" s="184" t="str">
        <f>+B177</f>
        <v>SG&amp;A</v>
      </c>
      <c r="C165" s="182" t="s">
        <v>67</v>
      </c>
      <c r="D165" s="706"/>
      <c r="F165" s="214"/>
      <c r="H165" s="707"/>
      <c r="N165" s="684"/>
      <c r="O165" s="709">
        <f>+'Value Creation Plan'!J83</f>
        <v>0</v>
      </c>
      <c r="P165" s="214">
        <f>+'Value Creation Plan'!K83</f>
        <v>-17.68</v>
      </c>
      <c r="Q165" s="214">
        <f>+'Value Creation Plan'!L83</f>
        <v>-35.36</v>
      </c>
      <c r="R165" s="214">
        <f>+'Value Creation Plan'!M83</f>
        <v>-53.04</v>
      </c>
      <c r="S165" s="214">
        <f>+'Value Creation Plan'!N83</f>
        <v>-70.72</v>
      </c>
      <c r="T165" s="214">
        <f>+'Value Creation Plan'!O83</f>
        <v>-88.4</v>
      </c>
      <c r="U165" s="214">
        <f>+'Value Creation Plan'!P83</f>
        <v>-106.08</v>
      </c>
      <c r="V165" s="214">
        <f>+'Value Creation Plan'!Q83</f>
        <v>-123.75999999999999</v>
      </c>
      <c r="W165" s="214">
        <f>+'Value Creation Plan'!R83</f>
        <v>-141.44</v>
      </c>
      <c r="X165" s="214">
        <f>+'Value Creation Plan'!S83</f>
        <v>-159.12</v>
      </c>
    </row>
    <row r="166" spans="1:24" s="419" customFormat="1" outlineLevel="1">
      <c r="B166" s="184" t="str">
        <f>+'Value Creation Plan'!C87</f>
        <v>Capex</v>
      </c>
      <c r="C166" s="182" t="s">
        <v>67</v>
      </c>
      <c r="D166" s="706"/>
      <c r="F166" s="214"/>
      <c r="H166" s="707"/>
      <c r="N166" s="684"/>
      <c r="O166" s="709">
        <f>+'Value Creation Plan'!J87</f>
        <v>0</v>
      </c>
      <c r="P166" s="214">
        <f>+'Value Creation Plan'!K87</f>
        <v>-13.012211227885224</v>
      </c>
      <c r="Q166" s="214">
        <f>+'Value Creation Plan'!L87</f>
        <v>-13.012211227885224</v>
      </c>
      <c r="R166" s="214">
        <f>+'Value Creation Plan'!M87</f>
        <v>-13.012211227885224</v>
      </c>
      <c r="S166" s="214">
        <f>+'Value Creation Plan'!N87</f>
        <v>-13.012211227885224</v>
      </c>
      <c r="T166" s="214">
        <f>+'Value Creation Plan'!O87</f>
        <v>-13.012211227885224</v>
      </c>
      <c r="U166" s="214">
        <f>+'Value Creation Plan'!P87</f>
        <v>-13.012211227885224</v>
      </c>
      <c r="V166" s="214">
        <f>+'Value Creation Plan'!Q87</f>
        <v>-13.012211227885224</v>
      </c>
      <c r="W166" s="214">
        <f>+'Value Creation Plan'!R87</f>
        <v>-13.012211227885224</v>
      </c>
      <c r="X166" s="214">
        <f>+'Value Creation Plan'!S87</f>
        <v>-13.012211227885224</v>
      </c>
    </row>
    <row r="167" spans="1:24" s="419" customFormat="1">
      <c r="B167" s="401"/>
      <c r="C167" s="211"/>
      <c r="D167" s="706"/>
      <c r="F167" s="682"/>
      <c r="H167" s="707"/>
      <c r="N167" s="684"/>
      <c r="O167" s="708"/>
      <c r="P167" s="682"/>
      <c r="Q167" s="682"/>
      <c r="R167" s="682"/>
      <c r="S167" s="682"/>
      <c r="T167" s="682"/>
      <c r="U167" s="682"/>
      <c r="V167" s="682"/>
      <c r="W167" s="682"/>
      <c r="X167" s="682"/>
    </row>
    <row r="168" spans="1:24" ht="17" thickBot="1">
      <c r="A168" s="177" t="s">
        <v>10</v>
      </c>
      <c r="B168" s="610" t="s">
        <v>699</v>
      </c>
      <c r="C168" s="611"/>
      <c r="D168" s="610"/>
      <c r="E168" s="610"/>
      <c r="F168" s="610"/>
      <c r="G168" s="610"/>
      <c r="H168" s="612"/>
      <c r="I168" s="610"/>
      <c r="J168" s="610"/>
      <c r="K168" s="610"/>
      <c r="L168" s="610"/>
      <c r="M168" s="610"/>
      <c r="N168" s="613"/>
      <c r="O168" s="613"/>
      <c r="P168" s="610"/>
      <c r="Q168" s="610"/>
      <c r="R168" s="610"/>
      <c r="S168" s="610"/>
      <c r="T168" s="610"/>
      <c r="U168" s="610"/>
      <c r="V168" s="610"/>
      <c r="W168" s="610"/>
      <c r="X168" s="610"/>
    </row>
    <row r="169" spans="1:24" s="419" customFormat="1" outlineLevel="1">
      <c r="B169" s="401" t="s">
        <v>698</v>
      </c>
      <c r="C169" s="182" t="s">
        <v>67</v>
      </c>
      <c r="D169" s="706"/>
      <c r="E169" s="232">
        <v>-2.0621520998889356</v>
      </c>
      <c r="F169" s="232">
        <v>-3.3604022979466399</v>
      </c>
      <c r="G169" s="232">
        <v>-2.9401139999999999</v>
      </c>
      <c r="H169" s="707"/>
      <c r="N169" s="684"/>
      <c r="O169" s="677">
        <f>0</f>
        <v>0</v>
      </c>
      <c r="P169" s="405">
        <f>0</f>
        <v>0</v>
      </c>
      <c r="Q169" s="405">
        <f>0</f>
        <v>0</v>
      </c>
      <c r="R169" s="405">
        <f>0</f>
        <v>0</v>
      </c>
      <c r="S169" s="405">
        <f>0</f>
        <v>0</v>
      </c>
      <c r="T169" s="405">
        <f>0</f>
        <v>0</v>
      </c>
      <c r="U169" s="405">
        <f>0</f>
        <v>0</v>
      </c>
      <c r="V169" s="405">
        <f>0</f>
        <v>0</v>
      </c>
      <c r="W169" s="405">
        <f>0</f>
        <v>0</v>
      </c>
      <c r="X169" s="405">
        <f>0</f>
        <v>0</v>
      </c>
    </row>
    <row r="170" spans="1:24" s="419" customFormat="1" outlineLevel="1">
      <c r="B170" s="401" t="s">
        <v>700</v>
      </c>
      <c r="C170" s="182" t="s">
        <v>14</v>
      </c>
      <c r="D170" s="706"/>
      <c r="E170" s="224">
        <f>+F170</f>
        <v>-0.54118165041722699</v>
      </c>
      <c r="F170" s="224">
        <f>+G170</f>
        <v>-0.54118165041722699</v>
      </c>
      <c r="G170" s="194">
        <f>+G177/G174</f>
        <v>-0.54118165041722699</v>
      </c>
      <c r="H170" s="707"/>
      <c r="N170" s="684"/>
      <c r="O170" s="702">
        <f>+G170</f>
        <v>-0.54118165041722699</v>
      </c>
      <c r="P170" s="243">
        <f>+O170</f>
        <v>-0.54118165041722699</v>
      </c>
      <c r="Q170" s="243">
        <f t="shared" ref="Q170:X170" si="135">+P170</f>
        <v>-0.54118165041722699</v>
      </c>
      <c r="R170" s="243">
        <f t="shared" si="135"/>
        <v>-0.54118165041722699</v>
      </c>
      <c r="S170" s="243">
        <f t="shared" si="135"/>
        <v>-0.54118165041722699</v>
      </c>
      <c r="T170" s="243">
        <f t="shared" si="135"/>
        <v>-0.54118165041722699</v>
      </c>
      <c r="U170" s="243">
        <f t="shared" si="135"/>
        <v>-0.54118165041722699</v>
      </c>
      <c r="V170" s="243">
        <f t="shared" si="135"/>
        <v>-0.54118165041722699</v>
      </c>
      <c r="W170" s="243">
        <f t="shared" si="135"/>
        <v>-0.54118165041722699</v>
      </c>
      <c r="X170" s="243">
        <f t="shared" si="135"/>
        <v>-0.54118165041722699</v>
      </c>
    </row>
    <row r="171" spans="1:24" s="419" customFormat="1" outlineLevel="1">
      <c r="B171" s="401" t="s">
        <v>701</v>
      </c>
      <c r="C171" s="182" t="s">
        <v>14</v>
      </c>
      <c r="D171" s="706"/>
      <c r="E171" s="224">
        <f t="shared" ref="E171:G171" si="136">(E177-E158)/E174</f>
        <v>-0.51166623258838462</v>
      </c>
      <c r="F171" s="224">
        <f t="shared" si="136"/>
        <v>-0.52894575342409311</v>
      </c>
      <c r="G171" s="224">
        <f t="shared" si="136"/>
        <v>-0.54118165041722699</v>
      </c>
      <c r="H171" s="707"/>
      <c r="N171" s="684"/>
      <c r="O171" s="702">
        <f>(O177)/O174</f>
        <v>-0.56666607663049351</v>
      </c>
      <c r="P171" s="243">
        <f>(P177-P157)/P174</f>
        <v>-0.55186196331215609</v>
      </c>
      <c r="Q171" s="243">
        <f t="shared" ref="Q171:X171" si="137">(Q177-Q157)/Q174</f>
        <v>-0.55190403984015401</v>
      </c>
      <c r="R171" s="243">
        <f t="shared" si="137"/>
        <v>-0.55192385430111857</v>
      </c>
      <c r="S171" s="243">
        <f t="shared" si="137"/>
        <v>-0.55193366070773042</v>
      </c>
      <c r="T171" s="243">
        <f t="shared" si="137"/>
        <v>-0.55193807377712345</v>
      </c>
      <c r="U171" s="243">
        <f t="shared" si="137"/>
        <v>-0.5519392182735342</v>
      </c>
      <c r="V171" s="243">
        <f t="shared" si="137"/>
        <v>-0.55193820797812199</v>
      </c>
      <c r="W171" s="243">
        <f t="shared" si="137"/>
        <v>-0.55193568240826729</v>
      </c>
      <c r="X171" s="243">
        <f t="shared" si="137"/>
        <v>-0.55193203441650984</v>
      </c>
    </row>
    <row r="172" spans="1:24" s="419" customFormat="1">
      <c r="B172" s="401"/>
      <c r="C172" s="211"/>
      <c r="D172" s="706"/>
      <c r="E172" s="682"/>
      <c r="F172" s="682"/>
      <c r="H172" s="707"/>
      <c r="N172" s="684"/>
      <c r="O172" s="708"/>
      <c r="P172" s="682"/>
      <c r="Q172" s="682"/>
      <c r="R172" s="682"/>
      <c r="S172" s="682"/>
      <c r="T172" s="682"/>
      <c r="U172" s="682"/>
      <c r="V172" s="682"/>
      <c r="W172" s="682"/>
      <c r="X172" s="682"/>
    </row>
    <row r="173" spans="1:24" ht="17" thickBot="1">
      <c r="A173" s="177" t="s">
        <v>10</v>
      </c>
      <c r="B173" s="610" t="s">
        <v>30</v>
      </c>
      <c r="C173" s="611"/>
      <c r="D173" s="610"/>
      <c r="E173" s="610"/>
      <c r="F173" s="710"/>
      <c r="G173" s="711"/>
      <c r="H173" s="612"/>
      <c r="I173" s="610"/>
      <c r="J173" s="610"/>
      <c r="K173" s="610"/>
      <c r="L173" s="610"/>
      <c r="M173" s="610"/>
      <c r="N173" s="613"/>
      <c r="O173" s="613"/>
      <c r="P173" s="710"/>
      <c r="Q173" s="610"/>
      <c r="R173" s="610"/>
      <c r="S173" s="610"/>
      <c r="T173" s="610"/>
      <c r="U173" s="610"/>
      <c r="V173" s="610"/>
      <c r="W173" s="610"/>
      <c r="X173" s="610"/>
    </row>
    <row r="174" spans="1:24" outlineLevel="1">
      <c r="B174" s="184" t="s">
        <v>63</v>
      </c>
      <c r="C174" s="182" t="s">
        <v>67</v>
      </c>
      <c r="E174" s="214">
        <f>+'Historic FS'!E5/10^6</f>
        <v>29.874130079999997</v>
      </c>
      <c r="F174" s="214">
        <f>+'Historic FS'!F5/10^6</f>
        <v>39.019757800000008</v>
      </c>
      <c r="G174" s="508">
        <f>+'Historic FS'!G5/10^6</f>
        <v>45.929656189999996</v>
      </c>
      <c r="H174" s="712"/>
      <c r="I174" s="201"/>
      <c r="J174" s="201"/>
      <c r="K174" s="201"/>
      <c r="L174" s="201"/>
      <c r="M174" s="201"/>
      <c r="N174" s="713">
        <f>+G174</f>
        <v>45.929656189999996</v>
      </c>
      <c r="O174" s="652">
        <f t="shared" ref="O174:X174" si="138">O35+O163</f>
        <v>47.307545875699994</v>
      </c>
      <c r="P174" s="714">
        <f t="shared" si="138"/>
        <v>80.726772251970999</v>
      </c>
      <c r="Q174" s="714">
        <f t="shared" si="138"/>
        <v>114.18857541953012</v>
      </c>
      <c r="R174" s="714">
        <f t="shared" si="138"/>
        <v>147.69423268211602</v>
      </c>
      <c r="S174" s="714">
        <f t="shared" si="138"/>
        <v>181.24505966257951</v>
      </c>
      <c r="T174" s="714">
        <f t="shared" si="138"/>
        <v>214.8424114524569</v>
      </c>
      <c r="U174" s="714">
        <f t="shared" si="138"/>
        <v>248.48768379603061</v>
      </c>
      <c r="V174" s="714">
        <f t="shared" si="138"/>
        <v>282.18231430991153</v>
      </c>
      <c r="W174" s="714">
        <f t="shared" si="138"/>
        <v>315.92778373920885</v>
      </c>
      <c r="X174" s="714">
        <f t="shared" si="138"/>
        <v>349.72561725138513</v>
      </c>
    </row>
    <row r="175" spans="1:24" outlineLevel="1">
      <c r="B175" s="216" t="s">
        <v>31</v>
      </c>
      <c r="C175" s="208" t="s">
        <v>67</v>
      </c>
      <c r="D175" s="292"/>
      <c r="E175" s="325">
        <f>+'Historic FS'!E6/10^6</f>
        <v>-10.61804134</v>
      </c>
      <c r="F175" s="325">
        <f>+'Historic FS'!F6/10^6</f>
        <v>-14.389310120000001</v>
      </c>
      <c r="G175" s="325">
        <f>+'Historic FS'!G6/10^6</f>
        <v>-16.39794917</v>
      </c>
      <c r="H175" s="294"/>
      <c r="I175" s="294"/>
      <c r="J175" s="294"/>
      <c r="K175" s="294"/>
      <c r="L175" s="294"/>
      <c r="M175" s="294"/>
      <c r="N175" s="648">
        <f t="shared" ref="N175:N187" si="139">+G175</f>
        <v>-16.39794917</v>
      </c>
      <c r="O175" s="653">
        <f t="shared" ref="O175:X175" si="140">O42+O164</f>
        <v>-17.025558629328973</v>
      </c>
      <c r="P175" s="504">
        <f t="shared" si="140"/>
        <v>-29.05283646595592</v>
      </c>
      <c r="Q175" s="504">
        <f t="shared" si="140"/>
        <v>-41.095437305349265</v>
      </c>
      <c r="R175" s="504">
        <f t="shared" si="140"/>
        <v>-53.153820837591994</v>
      </c>
      <c r="S175" s="504">
        <f t="shared" si="140"/>
        <v>-65.228460543469595</v>
      </c>
      <c r="T175" s="504">
        <f t="shared" si="140"/>
        <v>-77.31984410819112</v>
      </c>
      <c r="U175" s="504">
        <f t="shared" si="140"/>
        <v>-89.428473847521872</v>
      </c>
      <c r="V175" s="504">
        <f t="shared" si="140"/>
        <v>-101.55486714670013</v>
      </c>
      <c r="W175" s="504">
        <f t="shared" si="140"/>
        <v>-113.69955691252133</v>
      </c>
      <c r="X175" s="504">
        <f t="shared" si="140"/>
        <v>-125.86309203898475</v>
      </c>
    </row>
    <row r="176" spans="1:24" outlineLevel="1">
      <c r="A176" s="213"/>
      <c r="B176" s="269" t="s">
        <v>64</v>
      </c>
      <c r="C176" s="211" t="s">
        <v>67</v>
      </c>
      <c r="E176" s="219">
        <f>+SUM(E174:E175)</f>
        <v>19.256088739999996</v>
      </c>
      <c r="F176" s="219">
        <f>+SUM(F174:F175)</f>
        <v>24.630447680000007</v>
      </c>
      <c r="G176" s="715">
        <f>+SUM(G174:G175)</f>
        <v>29.531707019999995</v>
      </c>
      <c r="H176" s="712"/>
      <c r="I176" s="201"/>
      <c r="J176" s="201"/>
      <c r="K176" s="201"/>
      <c r="L176" s="201"/>
      <c r="M176" s="201"/>
      <c r="N176" s="716">
        <f t="shared" si="139"/>
        <v>29.531707019999995</v>
      </c>
      <c r="O176" s="626">
        <f>+SUM(O174:O175)</f>
        <v>30.28198724637102</v>
      </c>
      <c r="P176" s="219">
        <f>+SUM(P174:P175)</f>
        <v>51.673935786015079</v>
      </c>
      <c r="Q176" s="219">
        <f>+SUM(Q174:Q175)</f>
        <v>73.09313811418086</v>
      </c>
      <c r="R176" s="219">
        <f>+SUM(R174:R175)</f>
        <v>94.54041184452403</v>
      </c>
      <c r="S176" s="219">
        <f t="shared" ref="S176:X176" si="141">+SUM(S174:S175)</f>
        <v>116.01659911910991</v>
      </c>
      <c r="T176" s="219">
        <f t="shared" si="141"/>
        <v>137.52256734426578</v>
      </c>
      <c r="U176" s="219">
        <f t="shared" si="141"/>
        <v>159.05920994850874</v>
      </c>
      <c r="V176" s="219">
        <f t="shared" si="141"/>
        <v>180.6274471632114</v>
      </c>
      <c r="W176" s="219">
        <f t="shared" si="141"/>
        <v>202.22822682668752</v>
      </c>
      <c r="X176" s="219">
        <f t="shared" si="141"/>
        <v>223.86252521240039</v>
      </c>
    </row>
    <row r="177" spans="1:24" outlineLevel="1">
      <c r="B177" s="216" t="s">
        <v>32</v>
      </c>
      <c r="C177" s="208" t="s">
        <v>67</v>
      </c>
      <c r="D177" s="292"/>
      <c r="E177" s="325">
        <f>SUM('Historic FS'!E8,'Historic FS'!E9)/10^6+E169</f>
        <v>-15.285583589888935</v>
      </c>
      <c r="F177" s="325">
        <f>SUM('Historic FS'!F8,'Historic FS'!F9)/10^6+F169</f>
        <v>-20.639335187946639</v>
      </c>
      <c r="G177" s="325">
        <f>SUM('Historic FS'!G8,'Historic FS'!G9)/10^6+G169</f>
        <v>-24.856287140000003</v>
      </c>
      <c r="H177" s="294"/>
      <c r="I177" s="294"/>
      <c r="J177" s="294"/>
      <c r="K177" s="294"/>
      <c r="L177" s="294"/>
      <c r="M177" s="294"/>
      <c r="N177" s="632">
        <f t="shared" si="139"/>
        <v>-24.856287140000003</v>
      </c>
      <c r="O177" s="653">
        <f>O57+O165+O169</f>
        <v>-26.807581416400001</v>
      </c>
      <c r="P177" s="294">
        <f>P57+P165+P169</f>
        <v>-44.550035026826002</v>
      </c>
      <c r="Q177" s="294">
        <f t="shared" ref="Q177:X177" si="142">Q57+Q165+Q169</f>
        <v>-63.021136077630786</v>
      </c>
      <c r="R177" s="294">
        <f t="shared" si="142"/>
        <v>-81.515970159959707</v>
      </c>
      <c r="S177" s="294">
        <f t="shared" si="142"/>
        <v>-100.03524926475851</v>
      </c>
      <c r="T177" s="294">
        <f t="shared" si="142"/>
        <v>-118.57970674270126</v>
      </c>
      <c r="U177" s="294">
        <f t="shared" si="142"/>
        <v>-137.15009794498229</v>
      </c>
      <c r="V177" s="294">
        <f t="shared" si="142"/>
        <v>-155.74720088333174</v>
      </c>
      <c r="W177" s="294">
        <f t="shared" si="142"/>
        <v>-174.37181690983172</v>
      </c>
      <c r="X177" s="294">
        <f t="shared" si="142"/>
        <v>-193.02477141712666</v>
      </c>
    </row>
    <row r="178" spans="1:24" outlineLevel="1">
      <c r="A178" s="213"/>
      <c r="B178" s="269" t="s">
        <v>33</v>
      </c>
      <c r="C178" s="211" t="s">
        <v>67</v>
      </c>
      <c r="E178" s="219">
        <f>+SUM(E176:E177)</f>
        <v>3.9705051501110606</v>
      </c>
      <c r="F178" s="219">
        <f>+SUM(F176:F177)</f>
        <v>3.991112492053368</v>
      </c>
      <c r="G178" s="715">
        <f>+SUM(G176:G177)</f>
        <v>4.6754198799999926</v>
      </c>
      <c r="H178" s="712"/>
      <c r="I178" s="201"/>
      <c r="J178" s="201"/>
      <c r="K178" s="201"/>
      <c r="L178" s="201"/>
      <c r="M178" s="201"/>
      <c r="N178" s="716">
        <f t="shared" si="139"/>
        <v>4.6754198799999926</v>
      </c>
      <c r="O178" s="626">
        <f t="shared" ref="O178:X178" si="143">+SUM(O176:O177)</f>
        <v>3.474405829971019</v>
      </c>
      <c r="P178" s="219">
        <f t="shared" si="143"/>
        <v>7.1239007591890768</v>
      </c>
      <c r="Q178" s="219">
        <f t="shared" si="143"/>
        <v>10.072002036550074</v>
      </c>
      <c r="R178" s="219">
        <f t="shared" si="143"/>
        <v>13.024441684564323</v>
      </c>
      <c r="S178" s="219">
        <f t="shared" si="143"/>
        <v>15.981349854351407</v>
      </c>
      <c r="T178" s="219">
        <f t="shared" si="143"/>
        <v>18.942860601564519</v>
      </c>
      <c r="U178" s="219">
        <f t="shared" si="143"/>
        <v>21.909112003526445</v>
      </c>
      <c r="V178" s="219">
        <f t="shared" si="143"/>
        <v>24.880246279879657</v>
      </c>
      <c r="W178" s="219">
        <f t="shared" si="143"/>
        <v>27.856409916855796</v>
      </c>
      <c r="X178" s="219">
        <f t="shared" si="143"/>
        <v>30.837753795273727</v>
      </c>
    </row>
    <row r="179" spans="1:24" outlineLevel="1">
      <c r="B179" s="216" t="s">
        <v>34</v>
      </c>
      <c r="C179" s="208" t="s">
        <v>67</v>
      </c>
      <c r="D179" s="292"/>
      <c r="E179" s="325">
        <f>+'Historic FS'!E11/10^6</f>
        <v>-0.37489528000000005</v>
      </c>
      <c r="F179" s="325">
        <f>+'Historic FS'!F11/10^6</f>
        <v>-0.51956804999999995</v>
      </c>
      <c r="G179" s="325">
        <f>+'Historic FS'!G11/10^6</f>
        <v>-0.59278354</v>
      </c>
      <c r="H179" s="294"/>
      <c r="I179" s="294"/>
      <c r="J179" s="294"/>
      <c r="K179" s="294"/>
      <c r="L179" s="294"/>
      <c r="M179" s="294"/>
      <c r="N179" s="648">
        <f t="shared" si="139"/>
        <v>-0.59278354</v>
      </c>
      <c r="O179" s="653">
        <f t="shared" ref="O179:X179" si="144">+O73</f>
        <v>-0.33486041600000005</v>
      </c>
      <c r="P179" s="294">
        <f t="shared" si="144"/>
        <v>-0.38216796187570007</v>
      </c>
      <c r="Q179" s="294">
        <f t="shared" si="144"/>
        <v>-0.46289473412767101</v>
      </c>
      <c r="R179" s="294">
        <f t="shared" si="144"/>
        <v>-0.57708330954720122</v>
      </c>
      <c r="S179" s="294">
        <f t="shared" si="144"/>
        <v>-0.72477754222931723</v>
      </c>
      <c r="T179" s="294">
        <f t="shared" si="144"/>
        <v>-0.90602260189189676</v>
      </c>
      <c r="U179" s="294">
        <f t="shared" si="144"/>
        <v>-1.1208650133443538</v>
      </c>
      <c r="V179" s="294">
        <f t="shared" si="144"/>
        <v>-1.3693526971403847</v>
      </c>
      <c r="W179" s="294">
        <f t="shared" si="144"/>
        <v>-1.6515350114502962</v>
      </c>
      <c r="X179" s="294">
        <f t="shared" si="144"/>
        <v>-1.9674627951895047</v>
      </c>
    </row>
    <row r="180" spans="1:24" outlineLevel="1">
      <c r="A180" s="213"/>
      <c r="B180" s="269" t="s">
        <v>35</v>
      </c>
      <c r="C180" s="211" t="s">
        <v>67</v>
      </c>
      <c r="E180" s="219">
        <f>+SUM(E178:E179)</f>
        <v>3.5956098701110606</v>
      </c>
      <c r="F180" s="219">
        <f>+SUM(F178:F179)</f>
        <v>3.4715444420533679</v>
      </c>
      <c r="G180" s="715">
        <f>+SUM(G178:G179)</f>
        <v>4.0826363399999925</v>
      </c>
      <c r="H180" s="712"/>
      <c r="I180" s="201"/>
      <c r="J180" s="201"/>
      <c r="K180" s="201"/>
      <c r="L180" s="201"/>
      <c r="M180" s="201"/>
      <c r="N180" s="716">
        <f t="shared" si="139"/>
        <v>4.0826363399999925</v>
      </c>
      <c r="O180" s="626">
        <f>+SUM(O178:O179)</f>
        <v>3.1395454139710188</v>
      </c>
      <c r="P180" s="219">
        <f t="shared" ref="P180:X180" si="145">+SUM(P178:P179)</f>
        <v>6.7417327973133769</v>
      </c>
      <c r="Q180" s="219">
        <f t="shared" si="145"/>
        <v>9.6091073024224034</v>
      </c>
      <c r="R180" s="219">
        <f t="shared" si="145"/>
        <v>12.447358375017121</v>
      </c>
      <c r="S180" s="219">
        <f t="shared" si="145"/>
        <v>15.25657231212209</v>
      </c>
      <c r="T180" s="219">
        <f t="shared" si="145"/>
        <v>18.03683799967262</v>
      </c>
      <c r="U180" s="219">
        <f t="shared" si="145"/>
        <v>20.788246990182092</v>
      </c>
      <c r="V180" s="219">
        <f t="shared" si="145"/>
        <v>23.510893582739271</v>
      </c>
      <c r="W180" s="219">
        <f t="shared" si="145"/>
        <v>26.2048749054055</v>
      </c>
      <c r="X180" s="219">
        <f t="shared" si="145"/>
        <v>28.870291000084222</v>
      </c>
    </row>
    <row r="181" spans="1:24" outlineLevel="1">
      <c r="B181" s="184" t="s">
        <v>719</v>
      </c>
      <c r="C181" s="182" t="s">
        <v>67</v>
      </c>
      <c r="E181" s="201">
        <f>+'Historic FS'!E12/10^6</f>
        <v>0</v>
      </c>
      <c r="F181" s="201">
        <f>+'Historic FS'!F12/10^6</f>
        <v>0</v>
      </c>
      <c r="G181" s="717">
        <f>+'Historic FS'!G12/10^6</f>
        <v>0</v>
      </c>
      <c r="H181" s="712"/>
      <c r="I181" s="201"/>
      <c r="J181" s="201"/>
      <c r="K181" s="201"/>
      <c r="L181" s="201"/>
      <c r="M181" s="201"/>
      <c r="N181" s="718">
        <f t="shared" si="139"/>
        <v>0</v>
      </c>
      <c r="O181" s="651">
        <f t="shared" ref="O181:X181" si="146">+O156</f>
        <v>-2.1270951223257684</v>
      </c>
      <c r="P181" s="201">
        <f t="shared" si="146"/>
        <v>-4.2182726465714246</v>
      </c>
      <c r="Q181" s="201">
        <f t="shared" si="146"/>
        <v>-4.1221601052571391</v>
      </c>
      <c r="R181" s="201">
        <f t="shared" si="146"/>
        <v>-4.0281833981942814</v>
      </c>
      <c r="S181" s="201">
        <f t="shared" si="146"/>
        <v>-4.0324550666971382</v>
      </c>
      <c r="T181" s="201">
        <f t="shared" si="146"/>
        <v>-4.0580850777142814</v>
      </c>
      <c r="U181" s="201">
        <f t="shared" si="146"/>
        <v>-4.0580850777142814</v>
      </c>
      <c r="V181" s="201">
        <f t="shared" si="146"/>
        <v>-4.0580850777142814</v>
      </c>
      <c r="W181" s="201">
        <f t="shared" si="146"/>
        <v>-4.0580850777142814</v>
      </c>
      <c r="X181" s="201">
        <f t="shared" si="146"/>
        <v>-4.0580850777142814</v>
      </c>
    </row>
    <row r="182" spans="1:24" outlineLevel="1">
      <c r="B182" s="184" t="s">
        <v>720</v>
      </c>
      <c r="C182" s="182" t="s">
        <v>67</v>
      </c>
      <c r="E182" s="201">
        <v>0</v>
      </c>
      <c r="F182" s="220">
        <v>0</v>
      </c>
      <c r="G182" s="719">
        <v>0</v>
      </c>
      <c r="H182" s="712"/>
      <c r="I182" s="201"/>
      <c r="J182" s="201"/>
      <c r="K182" s="201"/>
      <c r="L182" s="201"/>
      <c r="M182" s="201"/>
      <c r="N182" s="718">
        <f t="shared" si="139"/>
        <v>0</v>
      </c>
      <c r="O182" s="646">
        <f t="shared" ref="O182:X182" si="147">+O151</f>
        <v>-0.94075027542857081</v>
      </c>
      <c r="P182" s="220">
        <f t="shared" si="147"/>
        <v>0</v>
      </c>
      <c r="Q182" s="220">
        <f t="shared" si="147"/>
        <v>0</v>
      </c>
      <c r="R182" s="220">
        <f t="shared" si="147"/>
        <v>0</v>
      </c>
      <c r="S182" s="220">
        <f t="shared" si="147"/>
        <v>0</v>
      </c>
      <c r="T182" s="220">
        <f t="shared" si="147"/>
        <v>0</v>
      </c>
      <c r="U182" s="220">
        <f t="shared" si="147"/>
        <v>0</v>
      </c>
      <c r="V182" s="220">
        <f t="shared" si="147"/>
        <v>0</v>
      </c>
      <c r="W182" s="220">
        <f t="shared" si="147"/>
        <v>0</v>
      </c>
      <c r="X182" s="220">
        <f t="shared" si="147"/>
        <v>0</v>
      </c>
    </row>
    <row r="183" spans="1:24" outlineLevel="1">
      <c r="B183" s="184" t="s">
        <v>193</v>
      </c>
      <c r="C183" s="182" t="s">
        <v>67</v>
      </c>
      <c r="E183" s="201">
        <v>0</v>
      </c>
      <c r="F183" s="201">
        <v>0</v>
      </c>
      <c r="G183" s="719">
        <v>0</v>
      </c>
      <c r="H183" s="712"/>
      <c r="I183" s="201"/>
      <c r="J183" s="201"/>
      <c r="K183" s="201"/>
      <c r="L183" s="201"/>
      <c r="M183" s="201"/>
      <c r="N183" s="718">
        <f t="shared" si="139"/>
        <v>0</v>
      </c>
      <c r="O183" s="651">
        <f t="shared" ref="O183:X183" si="148">-O119</f>
        <v>-1.8434512669714254</v>
      </c>
      <c r="P183" s="201">
        <f t="shared" si="148"/>
        <v>-1.8434512669714254</v>
      </c>
      <c r="Q183" s="201">
        <f t="shared" si="148"/>
        <v>-1.8434512669714254</v>
      </c>
      <c r="R183" s="201">
        <f t="shared" si="148"/>
        <v>-2.1702073246302476</v>
      </c>
      <c r="S183" s="201">
        <f t="shared" si="148"/>
        <v>-2.4863893960562167</v>
      </c>
      <c r="T183" s="201">
        <f t="shared" si="148"/>
        <v>-2.6937225623809677</v>
      </c>
      <c r="U183" s="201">
        <f t="shared" si="148"/>
        <v>-2.7939945594166082</v>
      </c>
      <c r="V183" s="201">
        <f t="shared" si="148"/>
        <v>-2.7939945594166082</v>
      </c>
      <c r="W183" s="201">
        <f t="shared" si="148"/>
        <v>-2.7939945594166082</v>
      </c>
      <c r="X183" s="201">
        <f t="shared" si="148"/>
        <v>-2.7939945594166082</v>
      </c>
    </row>
    <row r="184" spans="1:24" outlineLevel="1">
      <c r="B184" s="216" t="s">
        <v>36</v>
      </c>
      <c r="C184" s="208" t="s">
        <v>67</v>
      </c>
      <c r="D184" s="292"/>
      <c r="E184" s="325">
        <f>+'Historic FS'!E14/10^6</f>
        <v>1.4049210000000001</v>
      </c>
      <c r="F184" s="325">
        <f>+'Historic FS'!F14/10^6</f>
        <v>0.76405599999999996</v>
      </c>
      <c r="G184" s="720">
        <f>+'Historic FS'!G14/10^6</f>
        <v>3.7726999999999997E-2</v>
      </c>
      <c r="H184" s="294"/>
      <c r="I184" s="294"/>
      <c r="J184" s="294"/>
      <c r="K184" s="294"/>
      <c r="L184" s="294"/>
      <c r="M184" s="294"/>
      <c r="N184" s="648">
        <f t="shared" si="139"/>
        <v>3.7726999999999997E-2</v>
      </c>
      <c r="O184" s="721">
        <v>0</v>
      </c>
      <c r="P184" s="722">
        <v>0</v>
      </c>
      <c r="Q184" s="722">
        <v>0</v>
      </c>
      <c r="R184" s="722">
        <v>0</v>
      </c>
      <c r="S184" s="722">
        <v>0</v>
      </c>
      <c r="T184" s="722">
        <v>0</v>
      </c>
      <c r="U184" s="722">
        <v>0</v>
      </c>
      <c r="V184" s="722">
        <v>0</v>
      </c>
      <c r="W184" s="722">
        <v>0</v>
      </c>
      <c r="X184" s="722">
        <v>0</v>
      </c>
    </row>
    <row r="185" spans="1:24" outlineLevel="1">
      <c r="A185" s="213"/>
      <c r="B185" s="269" t="s">
        <v>37</v>
      </c>
      <c r="C185" s="211" t="s">
        <v>67</v>
      </c>
      <c r="E185" s="218">
        <f>+SUM(E180:E184)</f>
        <v>5.0005308701110609</v>
      </c>
      <c r="F185" s="218">
        <f>+SUM(F180:F184)</f>
        <v>4.2356004420533679</v>
      </c>
      <c r="G185" s="218">
        <f>+SUM(G180:G184)</f>
        <v>4.1203633399999928</v>
      </c>
      <c r="H185" s="712"/>
      <c r="I185" s="201"/>
      <c r="J185" s="201"/>
      <c r="K185" s="201"/>
      <c r="L185" s="201"/>
      <c r="M185" s="201"/>
      <c r="N185" s="723">
        <f t="shared" si="139"/>
        <v>4.1203633399999928</v>
      </c>
      <c r="O185" s="626">
        <f>+SUM(O180:O184)</f>
        <v>-1.7717512507547457</v>
      </c>
      <c r="P185" s="219">
        <f t="shared" ref="P185:X185" si="149">+SUM(P180:P184)</f>
        <v>0.68000888377052693</v>
      </c>
      <c r="Q185" s="219">
        <f t="shared" si="149"/>
        <v>3.643495930193839</v>
      </c>
      <c r="R185" s="219">
        <f t="shared" si="149"/>
        <v>6.2489676521925919</v>
      </c>
      <c r="S185" s="219">
        <f t="shared" si="149"/>
        <v>8.7377278493687367</v>
      </c>
      <c r="T185" s="219">
        <f t="shared" si="149"/>
        <v>11.285030359577371</v>
      </c>
      <c r="U185" s="219">
        <f t="shared" si="149"/>
        <v>13.936167353051202</v>
      </c>
      <c r="V185" s="219">
        <f t="shared" si="149"/>
        <v>16.658813945608383</v>
      </c>
      <c r="W185" s="219">
        <f t="shared" si="149"/>
        <v>19.352795268274612</v>
      </c>
      <c r="X185" s="219">
        <f t="shared" si="149"/>
        <v>22.018211362953334</v>
      </c>
    </row>
    <row r="186" spans="1:24" outlineLevel="1">
      <c r="B186" s="216" t="s">
        <v>38</v>
      </c>
      <c r="C186" s="208" t="s">
        <v>67</v>
      </c>
      <c r="D186" s="292"/>
      <c r="E186" s="325">
        <f>+'Historic FS'!E16/10^6</f>
        <v>-1.8362975721999997</v>
      </c>
      <c r="F186" s="325">
        <f>+'Historic FS'!F16/10^6</f>
        <v>-1.9749607124000013</v>
      </c>
      <c r="G186" s="720">
        <f>+'Historic FS'!G16/10^6</f>
        <v>-1.8357241083999989</v>
      </c>
      <c r="H186" s="294"/>
      <c r="I186" s="294"/>
      <c r="J186" s="294"/>
      <c r="K186" s="294"/>
      <c r="L186" s="294"/>
      <c r="M186" s="294"/>
      <c r="N186" s="648">
        <f t="shared" si="139"/>
        <v>-1.8357241083999989</v>
      </c>
      <c r="O186" s="653">
        <f t="shared" ref="O186:X186" si="150">+O104</f>
        <v>0</v>
      </c>
      <c r="P186" s="504">
        <f t="shared" si="150"/>
        <v>-0.17680230978033701</v>
      </c>
      <c r="Q186" s="504">
        <f t="shared" si="150"/>
        <v>-0.94730894185039816</v>
      </c>
      <c r="R186" s="504">
        <f t="shared" si="150"/>
        <v>-1.624731589570074</v>
      </c>
      <c r="S186" s="504">
        <f t="shared" si="150"/>
        <v>-2.2718092408358714</v>
      </c>
      <c r="T186" s="504">
        <f t="shared" si="150"/>
        <v>-2.9341078934901166</v>
      </c>
      <c r="U186" s="504">
        <f t="shared" si="150"/>
        <v>-3.6234035117933128</v>
      </c>
      <c r="V186" s="504">
        <f t="shared" si="150"/>
        <v>-4.3312916258581797</v>
      </c>
      <c r="W186" s="504">
        <f t="shared" si="150"/>
        <v>-5.0317267697513994</v>
      </c>
      <c r="X186" s="504">
        <f t="shared" si="150"/>
        <v>-5.7247349543678672</v>
      </c>
    </row>
    <row r="187" spans="1:24" outlineLevel="1">
      <c r="A187" s="213"/>
      <c r="B187" s="269" t="s">
        <v>39</v>
      </c>
      <c r="C187" s="211" t="s">
        <v>67</v>
      </c>
      <c r="E187" s="219">
        <f>+SUM(E185:E186)</f>
        <v>3.1642332979110614</v>
      </c>
      <c r="F187" s="219">
        <f>+SUM(F185:F186)</f>
        <v>2.2606397296533665</v>
      </c>
      <c r="G187" s="218">
        <f>+SUM(G185:G186)</f>
        <v>2.2846392315999937</v>
      </c>
      <c r="H187" s="712"/>
      <c r="I187" s="201"/>
      <c r="J187" s="201"/>
      <c r="K187" s="201"/>
      <c r="L187" s="201"/>
      <c r="M187" s="201"/>
      <c r="N187" s="723">
        <f t="shared" si="139"/>
        <v>2.2846392315999937</v>
      </c>
      <c r="O187" s="626">
        <f>+SUM(O185:O186)</f>
        <v>-1.7717512507547457</v>
      </c>
      <c r="P187" s="219">
        <f t="shared" ref="P187:X187" si="151">+SUM(P185:P186)</f>
        <v>0.50320657399018986</v>
      </c>
      <c r="Q187" s="219">
        <f t="shared" si="151"/>
        <v>2.6961869883434408</v>
      </c>
      <c r="R187" s="219">
        <f t="shared" si="151"/>
        <v>4.6242360626225176</v>
      </c>
      <c r="S187" s="219">
        <f t="shared" si="151"/>
        <v>6.4659186085328653</v>
      </c>
      <c r="T187" s="219">
        <f t="shared" si="151"/>
        <v>8.3509224660872547</v>
      </c>
      <c r="U187" s="219">
        <f t="shared" si="151"/>
        <v>10.312763841257889</v>
      </c>
      <c r="V187" s="219">
        <f t="shared" si="151"/>
        <v>12.327522319750203</v>
      </c>
      <c r="W187" s="219">
        <f t="shared" si="151"/>
        <v>14.321068498523212</v>
      </c>
      <c r="X187" s="219">
        <f t="shared" si="151"/>
        <v>16.293476408585466</v>
      </c>
    </row>
    <row r="188" spans="1:24" outlineLevel="1">
      <c r="O188" s="605"/>
    </row>
    <row r="189" spans="1:24" outlineLevel="1">
      <c r="B189" s="184" t="s">
        <v>618</v>
      </c>
      <c r="C189" s="182" t="s">
        <v>7</v>
      </c>
      <c r="E189" s="361">
        <f>+E187-('Historic FS'!E17/10^6)-E169</f>
        <v>0</v>
      </c>
      <c r="F189" s="361">
        <f>+F187-('Historic FS'!F17/10^6)-F169</f>
        <v>0</v>
      </c>
      <c r="G189" s="201">
        <f>+G187-('Historic FS'!G17/10^6)-G169</f>
        <v>0</v>
      </c>
      <c r="O189" s="605"/>
    </row>
    <row r="190" spans="1:24" outlineLevel="1">
      <c r="B190" s="401" t="s">
        <v>62</v>
      </c>
      <c r="C190" s="182" t="s">
        <v>14</v>
      </c>
      <c r="D190" s="240"/>
      <c r="E190" s="243">
        <f t="shared" ref="E190:G190" si="152">+E176/E174</f>
        <v>0.64457404076483815</v>
      </c>
      <c r="F190" s="243">
        <f t="shared" si="152"/>
        <v>0.6312301528432348</v>
      </c>
      <c r="G190" s="243">
        <f t="shared" si="152"/>
        <v>0.64297687964034378</v>
      </c>
      <c r="H190" s="724"/>
      <c r="I190" s="243"/>
      <c r="J190" s="243"/>
      <c r="K190" s="243"/>
      <c r="L190" s="243"/>
      <c r="M190" s="243"/>
      <c r="N190" s="702">
        <f>+N176/N174</f>
        <v>0.64297687964034378</v>
      </c>
      <c r="O190" s="702">
        <f t="shared" ref="O190:X190" si="153">+O176/O174</f>
        <v>0.64010902882040377</v>
      </c>
      <c r="P190" s="243">
        <f t="shared" si="153"/>
        <v>0.64010902882040377</v>
      </c>
      <c r="Q190" s="243">
        <f t="shared" si="153"/>
        <v>0.64010902882040377</v>
      </c>
      <c r="R190" s="243">
        <f t="shared" si="153"/>
        <v>0.64010902882040377</v>
      </c>
      <c r="S190" s="243">
        <f t="shared" si="153"/>
        <v>0.64010902882040377</v>
      </c>
      <c r="T190" s="243">
        <f t="shared" si="153"/>
        <v>0.64010902882040377</v>
      </c>
      <c r="U190" s="243">
        <f t="shared" si="153"/>
        <v>0.64010902882040377</v>
      </c>
      <c r="V190" s="243">
        <f t="shared" si="153"/>
        <v>0.64010902882040377</v>
      </c>
      <c r="W190" s="243">
        <f t="shared" si="153"/>
        <v>0.64010902882040377</v>
      </c>
      <c r="X190" s="243">
        <f t="shared" si="153"/>
        <v>0.64010902882040377</v>
      </c>
    </row>
    <row r="191" spans="1:24" outlineLevel="1">
      <c r="B191" s="401" t="s">
        <v>65</v>
      </c>
      <c r="C191" s="182" t="s">
        <v>14</v>
      </c>
      <c r="D191" s="240"/>
      <c r="E191" s="243">
        <f t="shared" ref="E191:G191" si="154">+E178/E174</f>
        <v>0.13290780817645356</v>
      </c>
      <c r="F191" s="243">
        <f t="shared" si="154"/>
        <v>0.10228439941914164</v>
      </c>
      <c r="G191" s="243">
        <f t="shared" si="154"/>
        <v>0.10179522922311675</v>
      </c>
      <c r="H191" s="724"/>
      <c r="I191" s="243"/>
      <c r="J191" s="243"/>
      <c r="K191" s="243"/>
      <c r="L191" s="243"/>
      <c r="M191" s="243"/>
      <c r="N191" s="702">
        <f>+N178/N174</f>
        <v>0.10179522922311675</v>
      </c>
      <c r="O191" s="702">
        <f t="shared" ref="O191:X191" si="155">+O178/O174</f>
        <v>7.3442952189910218E-2</v>
      </c>
      <c r="P191" s="243">
        <f t="shared" si="155"/>
        <v>8.8247065508247693E-2</v>
      </c>
      <c r="Q191" s="243">
        <f t="shared" si="155"/>
        <v>8.8204988980249768E-2</v>
      </c>
      <c r="R191" s="243">
        <f t="shared" si="155"/>
        <v>8.8185174519285231E-2</v>
      </c>
      <c r="S191" s="243">
        <f t="shared" si="155"/>
        <v>8.817536811267343E-2</v>
      </c>
      <c r="T191" s="243">
        <f t="shared" si="155"/>
        <v>8.8170955043280361E-2</v>
      </c>
      <c r="U191" s="243">
        <f t="shared" si="155"/>
        <v>8.8169810546869551E-2</v>
      </c>
      <c r="V191" s="243">
        <f t="shared" si="155"/>
        <v>8.8170820842281783E-2</v>
      </c>
      <c r="W191" s="243">
        <f t="shared" si="155"/>
        <v>8.8173346412136464E-2</v>
      </c>
      <c r="X191" s="243">
        <f t="shared" si="155"/>
        <v>8.8176994403893899E-2</v>
      </c>
    </row>
    <row r="192" spans="1:24" outlineLevel="1">
      <c r="B192" s="401" t="s">
        <v>66</v>
      </c>
      <c r="C192" s="182" t="s">
        <v>14</v>
      </c>
      <c r="D192" s="240"/>
      <c r="E192" s="243">
        <f t="shared" ref="E192:G192" si="156">+E187/E174</f>
        <v>0.10591884314078952</v>
      </c>
      <c r="F192" s="243">
        <f t="shared" si="156"/>
        <v>5.7935770417656615E-2</v>
      </c>
      <c r="G192" s="243">
        <f t="shared" si="156"/>
        <v>4.9742136587066707E-2</v>
      </c>
      <c r="H192" s="724"/>
      <c r="I192" s="243"/>
      <c r="J192" s="243"/>
      <c r="K192" s="243"/>
      <c r="L192" s="243"/>
      <c r="M192" s="243"/>
      <c r="N192" s="702">
        <f>+N187/N174</f>
        <v>4.9742136587066707E-2</v>
      </c>
      <c r="O192" s="702">
        <f t="shared" ref="O192:X192" si="157">+O187/O174</f>
        <v>-3.7451768379826778E-2</v>
      </c>
      <c r="P192" s="243">
        <f t="shared" si="157"/>
        <v>6.2334534126985827E-3</v>
      </c>
      <c r="Q192" s="243">
        <f t="shared" si="157"/>
        <v>2.3611705272945382E-2</v>
      </c>
      <c r="R192" s="243">
        <f t="shared" si="157"/>
        <v>3.1309523592402647E-2</v>
      </c>
      <c r="S192" s="243">
        <f t="shared" si="157"/>
        <v>3.5675006097106006E-2</v>
      </c>
      <c r="T192" s="243">
        <f t="shared" si="157"/>
        <v>3.886999037866997E-2</v>
      </c>
      <c r="U192" s="243">
        <f t="shared" si="157"/>
        <v>4.1502112634777703E-2</v>
      </c>
      <c r="V192" s="243">
        <f t="shared" si="157"/>
        <v>4.3686374710965377E-2</v>
      </c>
      <c r="W192" s="243">
        <f t="shared" si="157"/>
        <v>4.5330196442440553E-2</v>
      </c>
      <c r="X192" s="243">
        <f t="shared" si="157"/>
        <v>4.6589313464199582E-2</v>
      </c>
    </row>
    <row r="194" spans="1:24" ht="17" thickBot="1">
      <c r="A194" s="177" t="s">
        <v>10</v>
      </c>
      <c r="B194" s="610" t="s">
        <v>40</v>
      </c>
      <c r="C194" s="611"/>
      <c r="D194" s="610"/>
      <c r="E194" s="610"/>
      <c r="F194" s="610"/>
      <c r="G194" s="610"/>
      <c r="H194" s="612"/>
      <c r="I194" s="610"/>
      <c r="J194" s="711"/>
      <c r="K194" s="711"/>
      <c r="L194" s="711"/>
      <c r="M194" s="610"/>
      <c r="N194" s="613"/>
      <c r="O194" s="613"/>
      <c r="P194" s="610"/>
      <c r="Q194" s="610"/>
      <c r="R194" s="610"/>
      <c r="S194" s="610"/>
      <c r="T194" s="610"/>
      <c r="U194" s="610"/>
      <c r="V194" s="610"/>
      <c r="W194" s="610"/>
      <c r="X194" s="610"/>
    </row>
    <row r="195" spans="1:24" outlineLevel="1">
      <c r="B195" s="184" t="s">
        <v>41</v>
      </c>
      <c r="C195" s="182" t="s">
        <v>67</v>
      </c>
      <c r="E195" s="214">
        <f>+'Historic FS'!E28/10^6</f>
        <v>4.63731647</v>
      </c>
      <c r="F195" s="214">
        <f>+'Historic FS'!F28/10^6</f>
        <v>6.9645922000000002</v>
      </c>
      <c r="G195" s="214">
        <f>+'Historic FS'!G28/10^6</f>
        <v>6.8370514199999999</v>
      </c>
      <c r="H195" s="712">
        <f>+H208</f>
        <v>18.033762394285684</v>
      </c>
      <c r="I195" s="201">
        <f>+I204+I206</f>
        <v>36.720436405714239</v>
      </c>
      <c r="J195" s="214">
        <f>-Output!E24</f>
        <v>-44.780283109999928</v>
      </c>
      <c r="K195" s="201">
        <f>K204</f>
        <v>-1.9739156899999999</v>
      </c>
      <c r="L195" s="232">
        <f>+Control!D46-Model!G195</f>
        <v>-3.8370514199999999</v>
      </c>
      <c r="N195" s="667">
        <f>+SUM(G195:M195)</f>
        <v>10.999999999999993</v>
      </c>
      <c r="O195" s="725">
        <f>+O296</f>
        <v>11.582779603388353</v>
      </c>
      <c r="P195" s="201">
        <f>+P296</f>
        <v>1.8441754078100194</v>
      </c>
      <c r="Q195" s="201">
        <f t="shared" ref="Q195:X195" si="158">+Q296</f>
        <v>0</v>
      </c>
      <c r="R195" s="201">
        <f t="shared" si="158"/>
        <v>0</v>
      </c>
      <c r="S195" s="201">
        <f t="shared" si="158"/>
        <v>0</v>
      </c>
      <c r="T195" s="201">
        <f t="shared" si="158"/>
        <v>0</v>
      </c>
      <c r="U195" s="201">
        <f t="shared" si="158"/>
        <v>0.1259439066713206</v>
      </c>
      <c r="V195" s="201">
        <f t="shared" si="158"/>
        <v>2.1802090783537569</v>
      </c>
      <c r="W195" s="201">
        <f t="shared" si="158"/>
        <v>6.1748300989115776</v>
      </c>
      <c r="X195" s="201">
        <f t="shared" si="158"/>
        <v>12.121952989661199</v>
      </c>
    </row>
    <row r="196" spans="1:24" outlineLevel="1">
      <c r="B196" s="184" t="s">
        <v>42</v>
      </c>
      <c r="C196" s="182" t="s">
        <v>67</v>
      </c>
      <c r="E196" s="214">
        <f>+'Historic FS'!E29/10^6</f>
        <v>7.032737E-2</v>
      </c>
      <c r="F196" s="214">
        <f>+'Historic FS'!F29/10^6</f>
        <v>8.9097059999999992E-2</v>
      </c>
      <c r="G196" s="214">
        <f>+'Historic FS'!G29/10^6</f>
        <v>6.1891669999999996E-2</v>
      </c>
      <c r="N196" s="646">
        <f t="shared" ref="N196:N210" si="159">+SUM(G196:M196)</f>
        <v>6.1891669999999996E-2</v>
      </c>
      <c r="O196" s="652">
        <f t="shared" ref="O196:X196" si="160">+O88</f>
        <v>0.12277572715698741</v>
      </c>
      <c r="P196" s="220">
        <f t="shared" si="160"/>
        <v>0.20950755277633812</v>
      </c>
      <c r="Q196" s="220">
        <f t="shared" si="160"/>
        <v>0.29634987655013012</v>
      </c>
      <c r="R196" s="220">
        <f t="shared" si="160"/>
        <v>0.38330601342299658</v>
      </c>
      <c r="S196" s="220">
        <f t="shared" si="160"/>
        <v>0.47037937778790989</v>
      </c>
      <c r="T196" s="220">
        <f t="shared" si="160"/>
        <v>0.55757348646963134</v>
      </c>
      <c r="U196" s="220">
        <f t="shared" si="160"/>
        <v>0.64489196179766517</v>
      </c>
      <c r="V196" s="220">
        <f t="shared" si="160"/>
        <v>0.73233853477140087</v>
      </c>
      <c r="W196" s="220">
        <f t="shared" si="160"/>
        <v>0.81991704832020929</v>
      </c>
      <c r="X196" s="220">
        <f t="shared" si="160"/>
        <v>0.9076314606613427</v>
      </c>
    </row>
    <row r="197" spans="1:24" outlineLevel="1">
      <c r="B197" s="184" t="s">
        <v>91</v>
      </c>
      <c r="C197" s="182" t="s">
        <v>67</v>
      </c>
      <c r="E197" s="232">
        <v>0</v>
      </c>
      <c r="F197" s="232">
        <v>0</v>
      </c>
      <c r="G197" s="232">
        <v>0</v>
      </c>
      <c r="N197" s="646">
        <f t="shared" si="159"/>
        <v>0</v>
      </c>
      <c r="O197" s="652">
        <f t="shared" ref="O197:X197" si="161">+O89</f>
        <v>0</v>
      </c>
      <c r="P197" s="220">
        <f t="shared" si="161"/>
        <v>0</v>
      </c>
      <c r="Q197" s="220">
        <f t="shared" si="161"/>
        <v>0</v>
      </c>
      <c r="R197" s="220">
        <f t="shared" si="161"/>
        <v>0</v>
      </c>
      <c r="S197" s="220">
        <f t="shared" si="161"/>
        <v>0</v>
      </c>
      <c r="T197" s="220">
        <f t="shared" si="161"/>
        <v>0</v>
      </c>
      <c r="U197" s="220">
        <f t="shared" si="161"/>
        <v>0</v>
      </c>
      <c r="V197" s="220">
        <f t="shared" si="161"/>
        <v>0</v>
      </c>
      <c r="W197" s="220">
        <f t="shared" si="161"/>
        <v>0</v>
      </c>
      <c r="X197" s="220">
        <f t="shared" si="161"/>
        <v>0</v>
      </c>
    </row>
    <row r="198" spans="1:24" outlineLevel="1">
      <c r="B198" s="184" t="s">
        <v>443</v>
      </c>
      <c r="C198" s="182" t="s">
        <v>67</v>
      </c>
      <c r="E198" s="214">
        <f>+('Historic FS'!E30+'Historic FS'!E31)/10^6</f>
        <v>0.93378976000000069</v>
      </c>
      <c r="F198" s="214">
        <f>+('Historic FS'!F30+'Historic FS'!F31)/10^6</f>
        <v>0.10004287000000105</v>
      </c>
      <c r="G198" s="214">
        <f>+('Historic FS'!G30+'Historic FS'!G31)/10^6</f>
        <v>0.10728376999999956</v>
      </c>
      <c r="M198" s="201"/>
      <c r="N198" s="651">
        <f t="shared" si="159"/>
        <v>0.10728376999999956</v>
      </c>
      <c r="O198" s="652">
        <f>+N198</f>
        <v>0.10728376999999956</v>
      </c>
      <c r="P198" s="201">
        <f t="shared" ref="P198:X199" si="162">+O198</f>
        <v>0.10728376999999956</v>
      </c>
      <c r="Q198" s="201">
        <f t="shared" si="162"/>
        <v>0.10728376999999956</v>
      </c>
      <c r="R198" s="201">
        <f t="shared" si="162"/>
        <v>0.10728376999999956</v>
      </c>
      <c r="S198" s="201">
        <f t="shared" si="162"/>
        <v>0.10728376999999956</v>
      </c>
      <c r="T198" s="201">
        <f t="shared" si="162"/>
        <v>0.10728376999999956</v>
      </c>
      <c r="U198" s="201">
        <f t="shared" si="162"/>
        <v>0.10728376999999956</v>
      </c>
      <c r="V198" s="201">
        <f t="shared" si="162"/>
        <v>0.10728376999999956</v>
      </c>
      <c r="W198" s="201">
        <f t="shared" si="162"/>
        <v>0.10728376999999956</v>
      </c>
      <c r="X198" s="201">
        <f t="shared" si="162"/>
        <v>0.10728376999999956</v>
      </c>
    </row>
    <row r="199" spans="1:24" outlineLevel="1">
      <c r="B199" s="184" t="s">
        <v>423</v>
      </c>
      <c r="C199" s="182" t="s">
        <v>67</v>
      </c>
      <c r="E199" s="232">
        <v>0</v>
      </c>
      <c r="F199" s="232">
        <v>0</v>
      </c>
      <c r="G199" s="232">
        <v>0</v>
      </c>
      <c r="J199" s="214">
        <f>-J195+J208+J209</f>
        <v>41.644710389999929</v>
      </c>
      <c r="K199" s="201"/>
      <c r="L199" s="201"/>
      <c r="N199" s="651">
        <f t="shared" si="159"/>
        <v>41.644710389999929</v>
      </c>
      <c r="O199" s="652">
        <f>+N199</f>
        <v>41.644710389999929</v>
      </c>
      <c r="P199" s="201">
        <f t="shared" si="162"/>
        <v>41.644710389999929</v>
      </c>
      <c r="Q199" s="201">
        <f t="shared" si="162"/>
        <v>41.644710389999929</v>
      </c>
      <c r="R199" s="201">
        <f t="shared" si="162"/>
        <v>41.644710389999929</v>
      </c>
      <c r="S199" s="201">
        <f t="shared" si="162"/>
        <v>41.644710389999929</v>
      </c>
      <c r="T199" s="201">
        <f t="shared" si="162"/>
        <v>41.644710389999929</v>
      </c>
      <c r="U199" s="201">
        <f t="shared" si="162"/>
        <v>41.644710389999929</v>
      </c>
      <c r="V199" s="201">
        <f t="shared" si="162"/>
        <v>41.644710389999929</v>
      </c>
      <c r="W199" s="201">
        <f t="shared" si="162"/>
        <v>41.644710389999929</v>
      </c>
      <c r="X199" s="201">
        <f t="shared" si="162"/>
        <v>41.644710389999929</v>
      </c>
    </row>
    <row r="200" spans="1:24" outlineLevel="1">
      <c r="B200" s="184" t="s">
        <v>540</v>
      </c>
      <c r="C200" s="182" t="s">
        <v>67</v>
      </c>
      <c r="E200" s="232">
        <v>0</v>
      </c>
      <c r="F200" s="232">
        <v>0</v>
      </c>
      <c r="G200" s="232">
        <v>0</v>
      </c>
      <c r="J200" s="214"/>
      <c r="K200" s="201"/>
      <c r="L200" s="201"/>
      <c r="N200" s="651">
        <f t="shared" si="159"/>
        <v>0</v>
      </c>
      <c r="O200" s="652">
        <f t="shared" ref="O200:X200" si="163">+N200-O166</f>
        <v>0</v>
      </c>
      <c r="P200" s="201">
        <f t="shared" si="163"/>
        <v>13.012211227885224</v>
      </c>
      <c r="Q200" s="201">
        <f t="shared" si="163"/>
        <v>26.024422455770448</v>
      </c>
      <c r="R200" s="201">
        <f t="shared" si="163"/>
        <v>39.036633683655673</v>
      </c>
      <c r="S200" s="201">
        <f t="shared" si="163"/>
        <v>52.048844911540897</v>
      </c>
      <c r="T200" s="201">
        <f t="shared" si="163"/>
        <v>65.061056139426114</v>
      </c>
      <c r="U200" s="201">
        <f t="shared" si="163"/>
        <v>78.073267367311331</v>
      </c>
      <c r="V200" s="201">
        <f t="shared" si="163"/>
        <v>91.085478595196548</v>
      </c>
      <c r="W200" s="201">
        <f t="shared" si="163"/>
        <v>104.09768982308177</v>
      </c>
      <c r="X200" s="201">
        <f t="shared" si="163"/>
        <v>117.10990105096698</v>
      </c>
    </row>
    <row r="201" spans="1:24" outlineLevel="1">
      <c r="B201" s="216" t="s">
        <v>43</v>
      </c>
      <c r="C201" s="208" t="s">
        <v>67</v>
      </c>
      <c r="D201" s="292"/>
      <c r="E201" s="325">
        <f>+'Historic FS'!E32/10^6</f>
        <v>2.6456528500000003</v>
      </c>
      <c r="F201" s="325">
        <f>+'Historic FS'!F32/10^6</f>
        <v>2.23182357</v>
      </c>
      <c r="G201" s="325">
        <f>+'Historic FS'!G32/10^6</f>
        <v>3.3486041600000003</v>
      </c>
      <c r="H201" s="631"/>
      <c r="I201" s="292"/>
      <c r="J201" s="292"/>
      <c r="K201" s="292"/>
      <c r="L201" s="292"/>
      <c r="M201" s="292"/>
      <c r="N201" s="632">
        <f t="shared" si="159"/>
        <v>3.3486041600000003</v>
      </c>
      <c r="O201" s="653">
        <f t="shared" ref="O201:X201" si="164">+O80</f>
        <v>3.4868192027570002</v>
      </c>
      <c r="P201" s="294">
        <f t="shared" si="164"/>
        <v>3.9119189634010101</v>
      </c>
      <c r="Q201" s="294">
        <f t="shared" si="164"/>
        <v>4.5909099834686415</v>
      </c>
      <c r="R201" s="294">
        <f t="shared" si="164"/>
        <v>5.4907690007425991</v>
      </c>
      <c r="S201" s="294">
        <f t="shared" si="164"/>
        <v>6.5784420551390781</v>
      </c>
      <c r="T201" s="294">
        <f t="shared" si="164"/>
        <v>7.8208435677717514</v>
      </c>
      <c r="U201" s="294">
        <f t="shared" si="164"/>
        <v>9.1848553923877034</v>
      </c>
      <c r="V201" s="294">
        <f t="shared" si="164"/>
        <v>10.637325838346433</v>
      </c>
      <c r="W201" s="294">
        <f t="shared" si="164"/>
        <v>12.145068664288226</v>
      </c>
      <c r="X201" s="294">
        <f t="shared" si="164"/>
        <v>13.674862041612572</v>
      </c>
    </row>
    <row r="202" spans="1:24" outlineLevel="1">
      <c r="A202" s="213"/>
      <c r="B202" s="269" t="s">
        <v>44</v>
      </c>
      <c r="C202" s="211" t="s">
        <v>67</v>
      </c>
      <c r="E202" s="201">
        <f t="shared" ref="E202:F202" si="165">+SUM(E195:E201)</f>
        <v>8.2870864500000003</v>
      </c>
      <c r="F202" s="219">
        <f t="shared" si="165"/>
        <v>9.3855557000000012</v>
      </c>
      <c r="G202" s="219">
        <f>+SUM(G195:G201)</f>
        <v>10.354831019999999</v>
      </c>
      <c r="H202" s="712">
        <f>+SUM(H195:H201)</f>
        <v>18.033762394285684</v>
      </c>
      <c r="I202" s="201">
        <f t="shared" ref="I202:L202" si="166">+SUM(I195:I201)</f>
        <v>36.720436405714239</v>
      </c>
      <c r="J202" s="201">
        <f>+SUM(J195:J201)</f>
        <v>-3.135572719999999</v>
      </c>
      <c r="K202" s="201">
        <f t="shared" si="166"/>
        <v>-1.9739156899999999</v>
      </c>
      <c r="L202" s="201">
        <f t="shared" si="166"/>
        <v>-3.8370514199999999</v>
      </c>
      <c r="M202" s="201"/>
      <c r="N202" s="626">
        <f>+SUM(N195:N201)</f>
        <v>56.162489989999919</v>
      </c>
      <c r="O202" s="626">
        <f>+SUM(O195:O201)</f>
        <v>56.944368693302266</v>
      </c>
      <c r="P202" s="219">
        <f t="shared" ref="P202:X202" si="167">+SUM(P195:P201)</f>
        <v>60.72980731187252</v>
      </c>
      <c r="Q202" s="219">
        <f t="shared" si="167"/>
        <v>72.663676475789146</v>
      </c>
      <c r="R202" s="219">
        <f t="shared" si="167"/>
        <v>86.662702857821202</v>
      </c>
      <c r="S202" s="219">
        <f t="shared" si="167"/>
        <v>100.84966050446781</v>
      </c>
      <c r="T202" s="219">
        <f t="shared" si="167"/>
        <v>115.19146735366742</v>
      </c>
      <c r="U202" s="219">
        <f t="shared" si="167"/>
        <v>129.78095278816795</v>
      </c>
      <c r="V202" s="219">
        <f t="shared" si="167"/>
        <v>146.38734620666807</v>
      </c>
      <c r="W202" s="219">
        <f t="shared" si="167"/>
        <v>164.9894997946017</v>
      </c>
      <c r="X202" s="219">
        <f t="shared" si="167"/>
        <v>185.56634170290204</v>
      </c>
    </row>
    <row r="203" spans="1:24" outlineLevel="1">
      <c r="B203" s="184" t="s">
        <v>45</v>
      </c>
      <c r="C203" s="182" t="s">
        <v>67</v>
      </c>
      <c r="E203" s="214">
        <f>+'Historic FS'!E34/10^6</f>
        <v>1.1822793200000001</v>
      </c>
      <c r="F203" s="214">
        <f>+'Historic FS'!F34/10^6</f>
        <v>1.3716304000000001</v>
      </c>
      <c r="G203" s="214">
        <f>+'Historic FS'!G34/10^6</f>
        <v>1.4082911899999999</v>
      </c>
      <c r="N203" s="651">
        <f t="shared" si="159"/>
        <v>1.4082911899999999</v>
      </c>
      <c r="O203" s="652">
        <f t="shared" ref="O203:X203" si="168">+O92</f>
        <v>2.1184698770856674</v>
      </c>
      <c r="P203" s="201">
        <f t="shared" si="168"/>
        <v>3.557250654682655</v>
      </c>
      <c r="Q203" s="201">
        <f t="shared" si="168"/>
        <v>5.0319877651273668</v>
      </c>
      <c r="R203" s="201">
        <f t="shared" si="168"/>
        <v>6.5086346833492357</v>
      </c>
      <c r="S203" s="201">
        <f t="shared" si="168"/>
        <v>7.9872487035815753</v>
      </c>
      <c r="T203" s="201">
        <f t="shared" si="168"/>
        <v>9.4678888388847025</v>
      </c>
      <c r="U203" s="201">
        <f t="shared" si="168"/>
        <v>10.950615872710738</v>
      </c>
      <c r="V203" s="201">
        <f t="shared" si="168"/>
        <v>12.435492412015369</v>
      </c>
      <c r="W203" s="201">
        <f t="shared" si="168"/>
        <v>13.922582941962956</v>
      </c>
      <c r="X203" s="201">
        <f t="shared" si="168"/>
        <v>15.411953882272787</v>
      </c>
    </row>
    <row r="204" spans="1:24" outlineLevel="1">
      <c r="B204" s="184" t="s">
        <v>714</v>
      </c>
      <c r="C204" s="182" t="s">
        <v>67</v>
      </c>
      <c r="E204" s="214">
        <f>+'Historic FS'!E35/10^6</f>
        <v>1.6275524400000001</v>
      </c>
      <c r="F204" s="214">
        <f>+'Historic FS'!F35/10^6</f>
        <v>1.2509576599999999</v>
      </c>
      <c r="G204" s="214">
        <f>+'Historic FS'!G35/10^6</f>
        <v>1.9739156899999999</v>
      </c>
      <c r="I204" s="214">
        <f>+Control!D76</f>
        <v>21.358342514285692</v>
      </c>
      <c r="J204" s="214"/>
      <c r="K204" s="214">
        <f>-G204</f>
        <v>-1.9739156899999999</v>
      </c>
      <c r="L204" s="214"/>
      <c r="N204" s="651">
        <f t="shared" si="159"/>
        <v>21.358342514285692</v>
      </c>
      <c r="O204" s="651">
        <f t="shared" ref="O204:X204" si="169">+O130</f>
        <v>21.358342514285692</v>
      </c>
      <c r="P204" s="201">
        <f t="shared" si="169"/>
        <v>21.358342514285692</v>
      </c>
      <c r="Q204" s="201">
        <f t="shared" si="169"/>
        <v>21.358342514285692</v>
      </c>
      <c r="R204" s="201">
        <f t="shared" si="169"/>
        <v>21.358342514285692</v>
      </c>
      <c r="S204" s="201">
        <f t="shared" si="169"/>
        <v>21.358342514285692</v>
      </c>
      <c r="T204" s="201">
        <f t="shared" si="169"/>
        <v>21.358342514285692</v>
      </c>
      <c r="U204" s="201">
        <f t="shared" si="169"/>
        <v>21.358342514285692</v>
      </c>
      <c r="V204" s="201">
        <f t="shared" si="169"/>
        <v>21.358342514285692</v>
      </c>
      <c r="W204" s="201">
        <f t="shared" si="169"/>
        <v>21.358342514285692</v>
      </c>
      <c r="X204" s="201">
        <f t="shared" si="169"/>
        <v>21.358342514285692</v>
      </c>
    </row>
    <row r="205" spans="1:24" outlineLevel="1">
      <c r="B205" s="184" t="s">
        <v>429</v>
      </c>
      <c r="C205" s="182" t="s">
        <v>67</v>
      </c>
      <c r="E205" s="232">
        <v>0</v>
      </c>
      <c r="F205" s="232">
        <v>0</v>
      </c>
      <c r="G205" s="232">
        <v>0</v>
      </c>
      <c r="I205" s="214"/>
      <c r="J205" s="214"/>
      <c r="K205" s="214"/>
      <c r="L205" s="214"/>
      <c r="N205" s="651">
        <f t="shared" si="159"/>
        <v>0</v>
      </c>
      <c r="O205" s="651">
        <f>+O274</f>
        <v>1.8434512669714254</v>
      </c>
      <c r="P205" s="201">
        <f t="shared" ref="P205:X205" si="170">+P274</f>
        <v>3.6869025339428507</v>
      </c>
      <c r="Q205" s="201">
        <f t="shared" si="170"/>
        <v>5.5303538009142761</v>
      </c>
      <c r="R205" s="201">
        <f t="shared" si="170"/>
        <v>7.7005611255445237</v>
      </c>
      <c r="S205" s="201">
        <f t="shared" si="170"/>
        <v>10.186950521600741</v>
      </c>
      <c r="T205" s="201">
        <f t="shared" si="170"/>
        <v>12.880673083981709</v>
      </c>
      <c r="U205" s="201">
        <f t="shared" si="170"/>
        <v>15.674667643398317</v>
      </c>
      <c r="V205" s="201">
        <f t="shared" si="170"/>
        <v>18.468662202814926</v>
      </c>
      <c r="W205" s="201">
        <f t="shared" si="170"/>
        <v>21.262656762231533</v>
      </c>
      <c r="X205" s="201">
        <f t="shared" si="170"/>
        <v>24.05665132164814</v>
      </c>
    </row>
    <row r="206" spans="1:24" outlineLevel="1">
      <c r="B206" s="216" t="s">
        <v>194</v>
      </c>
      <c r="C206" s="208" t="s">
        <v>67</v>
      </c>
      <c r="D206" s="292"/>
      <c r="E206" s="726">
        <v>0</v>
      </c>
      <c r="F206" s="726">
        <v>0</v>
      </c>
      <c r="G206" s="726">
        <v>0</v>
      </c>
      <c r="H206" s="631"/>
      <c r="I206" s="325">
        <f>+Output!E18</f>
        <v>15.362093891428545</v>
      </c>
      <c r="J206" s="292"/>
      <c r="K206" s="292"/>
      <c r="L206" s="292"/>
      <c r="M206" s="292"/>
      <c r="N206" s="653">
        <f t="shared" si="159"/>
        <v>15.362093891428545</v>
      </c>
      <c r="O206" s="653">
        <f t="shared" ref="O206:X206" si="171">+O116</f>
        <v>15.362093891428545</v>
      </c>
      <c r="P206" s="504">
        <f t="shared" si="171"/>
        <v>15.362093891428545</v>
      </c>
      <c r="Q206" s="504">
        <f t="shared" si="171"/>
        <v>18.085061038585398</v>
      </c>
      <c r="R206" s="504">
        <f t="shared" si="171"/>
        <v>20.719911633801807</v>
      </c>
      <c r="S206" s="504">
        <f t="shared" si="171"/>
        <v>22.447688019841397</v>
      </c>
      <c r="T206" s="504">
        <f t="shared" si="171"/>
        <v>23.283287995138402</v>
      </c>
      <c r="U206" s="504">
        <f t="shared" si="171"/>
        <v>23.283287995138402</v>
      </c>
      <c r="V206" s="504">
        <f t="shared" si="171"/>
        <v>23.283287995138402</v>
      </c>
      <c r="W206" s="504">
        <f t="shared" si="171"/>
        <v>23.283287995138402</v>
      </c>
      <c r="X206" s="504">
        <f t="shared" si="171"/>
        <v>23.283287995138402</v>
      </c>
    </row>
    <row r="207" spans="1:24" outlineLevel="1">
      <c r="A207" s="213"/>
      <c r="B207" s="269" t="s">
        <v>46</v>
      </c>
      <c r="C207" s="211" t="s">
        <v>67</v>
      </c>
      <c r="E207" s="219">
        <f t="shared" ref="E207:F207" si="172">+SUM(E203:E206)</f>
        <v>2.8098317600000002</v>
      </c>
      <c r="F207" s="219">
        <f t="shared" si="172"/>
        <v>2.62258806</v>
      </c>
      <c r="G207" s="219">
        <f>+SUM(G203:G206)</f>
        <v>3.38220688</v>
      </c>
      <c r="H207" s="712">
        <f>+SUM(H203:H206)</f>
        <v>0</v>
      </c>
      <c r="I207" s="201">
        <f t="shared" ref="I207:L207" si="173">+SUM(I203:I206)</f>
        <v>36.720436405714239</v>
      </c>
      <c r="J207" s="201">
        <f t="shared" si="173"/>
        <v>0</v>
      </c>
      <c r="K207" s="201">
        <f t="shared" si="173"/>
        <v>-1.9739156899999999</v>
      </c>
      <c r="L207" s="201">
        <f t="shared" si="173"/>
        <v>0</v>
      </c>
      <c r="M207" s="201"/>
      <c r="N207" s="626">
        <f t="shared" ref="N207:X207" si="174">+SUM(N203:N206)</f>
        <v>38.128727595714238</v>
      </c>
      <c r="O207" s="626">
        <f t="shared" si="174"/>
        <v>40.682357549771332</v>
      </c>
      <c r="P207" s="219">
        <f t="shared" si="174"/>
        <v>43.964589594339742</v>
      </c>
      <c r="Q207" s="219">
        <f t="shared" si="174"/>
        <v>50.005745118912728</v>
      </c>
      <c r="R207" s="219">
        <f t="shared" si="174"/>
        <v>56.287449956981256</v>
      </c>
      <c r="S207" s="219">
        <f t="shared" si="174"/>
        <v>61.98022975930941</v>
      </c>
      <c r="T207" s="219">
        <f t="shared" si="174"/>
        <v>66.990192432290513</v>
      </c>
      <c r="U207" s="219">
        <f t="shared" si="174"/>
        <v>71.26691402553314</v>
      </c>
      <c r="V207" s="219">
        <f t="shared" si="174"/>
        <v>75.545785124254394</v>
      </c>
      <c r="W207" s="219">
        <f t="shared" si="174"/>
        <v>79.826870213618577</v>
      </c>
      <c r="X207" s="219">
        <f t="shared" si="174"/>
        <v>84.11023571334502</v>
      </c>
    </row>
    <row r="208" spans="1:24" outlineLevel="1">
      <c r="B208" s="184" t="s">
        <v>47</v>
      </c>
      <c r="C208" s="182" t="s">
        <v>67</v>
      </c>
      <c r="E208" s="214">
        <f>+'Historic FS'!E37/10^6</f>
        <v>6.9119180000000002E-2</v>
      </c>
      <c r="F208" s="214">
        <f>+'Historic FS'!F37/10^6</f>
        <v>6.9119180000000002E-2</v>
      </c>
      <c r="G208" s="214">
        <f>+'Historic FS'!G37/10^6</f>
        <v>6.9119180000000002E-2</v>
      </c>
      <c r="H208" s="727">
        <f>+Output!E17</f>
        <v>18.033762394285684</v>
      </c>
      <c r="J208" s="201">
        <f>-G208</f>
        <v>-6.9119180000000002E-2</v>
      </c>
      <c r="K208" s="201"/>
      <c r="L208" s="201"/>
      <c r="N208" s="651">
        <f t="shared" si="159"/>
        <v>18.033762394285684</v>
      </c>
      <c r="O208" s="652">
        <f t="shared" ref="O208:X208" si="175">+O110</f>
        <v>18.033762394285684</v>
      </c>
      <c r="P208" s="201">
        <f t="shared" si="175"/>
        <v>18.033762394285684</v>
      </c>
      <c r="Q208" s="201">
        <f t="shared" si="175"/>
        <v>21.230289045295901</v>
      </c>
      <c r="R208" s="201">
        <f t="shared" si="175"/>
        <v>24.323374526636904</v>
      </c>
      <c r="S208" s="201">
        <f t="shared" si="175"/>
        <v>26.351633762422509</v>
      </c>
      <c r="T208" s="201">
        <f t="shared" si="175"/>
        <v>27.332555472553771</v>
      </c>
      <c r="U208" s="201">
        <f t="shared" si="175"/>
        <v>27.332555472553771</v>
      </c>
      <c r="V208" s="201">
        <f t="shared" si="175"/>
        <v>27.332555472553771</v>
      </c>
      <c r="W208" s="201">
        <f t="shared" si="175"/>
        <v>27.332555472553771</v>
      </c>
      <c r="X208" s="201">
        <f t="shared" si="175"/>
        <v>27.332555472553771</v>
      </c>
    </row>
    <row r="209" spans="1:24" outlineLevel="1">
      <c r="B209" s="184" t="s">
        <v>39</v>
      </c>
      <c r="C209" s="182" t="s">
        <v>67</v>
      </c>
      <c r="E209" s="220">
        <f t="shared" ref="E209:G209" si="176">+E187</f>
        <v>3.1642332979110614</v>
      </c>
      <c r="F209" s="220">
        <f t="shared" si="176"/>
        <v>2.2606397296533665</v>
      </c>
      <c r="G209" s="220">
        <f t="shared" si="176"/>
        <v>2.2846392315999937</v>
      </c>
      <c r="J209" s="201">
        <f>-G209-L209</f>
        <v>-3.0664535399999986</v>
      </c>
      <c r="K209" s="201"/>
      <c r="L209" s="220">
        <f>+L202-L210</f>
        <v>0.78181430840000488</v>
      </c>
      <c r="M209" s="201"/>
      <c r="N209" s="651">
        <f t="shared" si="159"/>
        <v>0</v>
      </c>
      <c r="O209" s="652">
        <f t="shared" ref="O209:X209" si="177">+O187</f>
        <v>-1.7717512507547457</v>
      </c>
      <c r="P209" s="201">
        <f t="shared" si="177"/>
        <v>0.50320657399018986</v>
      </c>
      <c r="Q209" s="201">
        <f t="shared" si="177"/>
        <v>2.6961869883434408</v>
      </c>
      <c r="R209" s="201">
        <f t="shared" si="177"/>
        <v>4.6242360626225176</v>
      </c>
      <c r="S209" s="201">
        <f t="shared" si="177"/>
        <v>6.4659186085328653</v>
      </c>
      <c r="T209" s="201">
        <f t="shared" si="177"/>
        <v>8.3509224660872547</v>
      </c>
      <c r="U209" s="201">
        <f t="shared" si="177"/>
        <v>10.312763841257889</v>
      </c>
      <c r="V209" s="201">
        <f t="shared" si="177"/>
        <v>12.327522319750203</v>
      </c>
      <c r="W209" s="201">
        <f t="shared" si="177"/>
        <v>14.321068498523212</v>
      </c>
      <c r="X209" s="201">
        <f t="shared" si="177"/>
        <v>16.293476408585466</v>
      </c>
    </row>
    <row r="210" spans="1:24" outlineLevel="1">
      <c r="B210" s="216" t="s">
        <v>48</v>
      </c>
      <c r="C210" s="208" t="s">
        <v>67</v>
      </c>
      <c r="D210" s="292"/>
      <c r="E210" s="325">
        <f>+'Historic FS'!E39/10^6-E169</f>
        <v>2.2439022120889378</v>
      </c>
      <c r="F210" s="325">
        <f>+'Historic FS'!F39/10^6-F169</f>
        <v>4.433208730346637</v>
      </c>
      <c r="G210" s="325">
        <f>+'Historic FS'!G39/10^6-G169</f>
        <v>4.6188657284000048</v>
      </c>
      <c r="H210" s="631"/>
      <c r="I210" s="292"/>
      <c r="J210" s="294"/>
      <c r="K210" s="294"/>
      <c r="L210" s="294">
        <f>-G210</f>
        <v>-4.6188657284000048</v>
      </c>
      <c r="M210" s="292"/>
      <c r="N210" s="632">
        <f t="shared" si="159"/>
        <v>0</v>
      </c>
      <c r="O210" s="653">
        <f>+N210+N209+O286</f>
        <v>0</v>
      </c>
      <c r="P210" s="294">
        <f t="shared" ref="P210:X210" si="178">+O210+O209+P286</f>
        <v>-1.7717512507547457</v>
      </c>
      <c r="Q210" s="294">
        <f t="shared" si="178"/>
        <v>-1.2685446767645558</v>
      </c>
      <c r="R210" s="294">
        <f t="shared" si="178"/>
        <v>1.427642311578885</v>
      </c>
      <c r="S210" s="294">
        <f t="shared" si="178"/>
        <v>6.0518783742014026</v>
      </c>
      <c r="T210" s="294">
        <f t="shared" si="178"/>
        <v>12.517796982734268</v>
      </c>
      <c r="U210" s="294">
        <f t="shared" si="178"/>
        <v>20.868719448821523</v>
      </c>
      <c r="V210" s="294">
        <f t="shared" si="178"/>
        <v>31.181483290079413</v>
      </c>
      <c r="W210" s="294">
        <f t="shared" si="178"/>
        <v>43.509005609829615</v>
      </c>
      <c r="X210" s="294">
        <f t="shared" si="178"/>
        <v>57.830074108352825</v>
      </c>
    </row>
    <row r="211" spans="1:24" outlineLevel="1">
      <c r="A211" s="213"/>
      <c r="B211" s="269" t="s">
        <v>49</v>
      </c>
      <c r="C211" s="211" t="s">
        <v>67</v>
      </c>
      <c r="E211" s="219">
        <f>+SUM(E208:E210)</f>
        <v>5.4772546899999988</v>
      </c>
      <c r="F211" s="219">
        <f t="shared" ref="F211" si="179">+SUM(F208:F210)</f>
        <v>6.7629676400000029</v>
      </c>
      <c r="G211" s="218">
        <f>+SUM(G208:G210)</f>
        <v>6.9726241399999989</v>
      </c>
      <c r="H211" s="712">
        <f>+SUM(H208:H210)</f>
        <v>18.033762394285684</v>
      </c>
      <c r="I211" s="201">
        <f t="shared" ref="I211:L211" si="180">+SUM(I208:I210)</f>
        <v>0</v>
      </c>
      <c r="J211" s="201">
        <f t="shared" si="180"/>
        <v>-3.1355727199999985</v>
      </c>
      <c r="K211" s="201">
        <f t="shared" si="180"/>
        <v>0</v>
      </c>
      <c r="L211" s="201">
        <f t="shared" si="180"/>
        <v>-3.8370514199999999</v>
      </c>
      <c r="M211" s="201"/>
      <c r="N211" s="626">
        <f>+SUM(N208:N210)</f>
        <v>18.033762394285684</v>
      </c>
      <c r="O211" s="626">
        <f>+SUM(O208:O210)</f>
        <v>16.262011143530938</v>
      </c>
      <c r="P211" s="219">
        <f t="shared" ref="P211:X211" si="181">+SUM(P208:P210)</f>
        <v>16.765217717521129</v>
      </c>
      <c r="Q211" s="219">
        <f t="shared" si="181"/>
        <v>22.657931356874787</v>
      </c>
      <c r="R211" s="219">
        <f t="shared" si="181"/>
        <v>30.375252900838309</v>
      </c>
      <c r="S211" s="219">
        <f t="shared" si="181"/>
        <v>38.869430745156777</v>
      </c>
      <c r="T211" s="219">
        <f t="shared" si="181"/>
        <v>48.201274921375294</v>
      </c>
      <c r="U211" s="219">
        <f t="shared" si="181"/>
        <v>58.514038762633184</v>
      </c>
      <c r="V211" s="219">
        <f t="shared" si="181"/>
        <v>70.841561082383379</v>
      </c>
      <c r="W211" s="219">
        <f t="shared" si="181"/>
        <v>85.162629580906597</v>
      </c>
      <c r="X211" s="219">
        <f t="shared" si="181"/>
        <v>101.45610598949207</v>
      </c>
    </row>
    <row r="212" spans="1:24" outlineLevel="1">
      <c r="N212" s="651"/>
    </row>
    <row r="213" spans="1:24" outlineLevel="1">
      <c r="A213" s="240"/>
      <c r="B213" s="507" t="s">
        <v>50</v>
      </c>
      <c r="C213" s="182" t="s">
        <v>7</v>
      </c>
      <c r="D213" s="238">
        <f>+SUM(N213:X213)</f>
        <v>0</v>
      </c>
      <c r="E213" s="238">
        <f t="shared" ref="E213:M213" si="182">ROUND(+(E202)-(E211+E207),6)</f>
        <v>0</v>
      </c>
      <c r="F213" s="238">
        <f t="shared" si="182"/>
        <v>0</v>
      </c>
      <c r="G213" s="238">
        <f t="shared" si="182"/>
        <v>0</v>
      </c>
      <c r="H213" s="728">
        <f t="shared" si="182"/>
        <v>0</v>
      </c>
      <c r="I213" s="729">
        <f t="shared" si="182"/>
        <v>0</v>
      </c>
      <c r="J213" s="238">
        <f t="shared" si="182"/>
        <v>0</v>
      </c>
      <c r="K213" s="729">
        <f t="shared" si="182"/>
        <v>0</v>
      </c>
      <c r="L213" s="729">
        <f t="shared" si="182"/>
        <v>0</v>
      </c>
      <c r="M213" s="729">
        <f t="shared" si="182"/>
        <v>0</v>
      </c>
      <c r="N213" s="730">
        <f>ROUND(+(N202)-(N211+N207),6)</f>
        <v>0</v>
      </c>
      <c r="O213" s="730">
        <f>ROUND(+(O202)-(O211+O207),6)</f>
        <v>0</v>
      </c>
      <c r="P213" s="238">
        <f t="shared" ref="P213:X213" si="183">ROUND(+(P202)-(P211+P207),6)</f>
        <v>0</v>
      </c>
      <c r="Q213" s="238">
        <f t="shared" si="183"/>
        <v>0</v>
      </c>
      <c r="R213" s="238">
        <f t="shared" si="183"/>
        <v>0</v>
      </c>
      <c r="S213" s="238">
        <f t="shared" si="183"/>
        <v>0</v>
      </c>
      <c r="T213" s="238">
        <f t="shared" si="183"/>
        <v>0</v>
      </c>
      <c r="U213" s="238">
        <f t="shared" si="183"/>
        <v>0</v>
      </c>
      <c r="V213" s="238">
        <f t="shared" si="183"/>
        <v>0</v>
      </c>
      <c r="W213" s="238">
        <f t="shared" si="183"/>
        <v>0</v>
      </c>
      <c r="X213" s="238">
        <f t="shared" si="183"/>
        <v>0</v>
      </c>
    </row>
    <row r="214" spans="1:24">
      <c r="F214" s="731"/>
      <c r="G214" s="482"/>
      <c r="N214" s="651"/>
      <c r="O214" s="732"/>
      <c r="P214" s="731"/>
      <c r="Q214" s="731"/>
      <c r="R214" s="731"/>
      <c r="S214" s="731"/>
      <c r="T214" s="731"/>
      <c r="U214" s="731"/>
      <c r="V214" s="731"/>
      <c r="W214" s="731"/>
      <c r="X214" s="731"/>
    </row>
    <row r="215" spans="1:24" ht="17" thickBot="1">
      <c r="A215" s="177" t="s">
        <v>10</v>
      </c>
      <c r="B215" s="610" t="s">
        <v>51</v>
      </c>
      <c r="C215" s="611"/>
      <c r="D215" s="610"/>
      <c r="E215" s="610"/>
      <c r="F215" s="610"/>
      <c r="G215" s="610"/>
      <c r="H215" s="612"/>
      <c r="I215" s="610"/>
      <c r="J215" s="610"/>
      <c r="K215" s="610"/>
      <c r="L215" s="610"/>
      <c r="M215" s="610"/>
      <c r="N215" s="613"/>
      <c r="O215" s="613"/>
      <c r="P215" s="610"/>
      <c r="Q215" s="610"/>
      <c r="R215" s="610"/>
      <c r="S215" s="610"/>
      <c r="T215" s="610"/>
      <c r="U215" s="610"/>
      <c r="V215" s="610"/>
      <c r="W215" s="610"/>
      <c r="X215" s="610"/>
    </row>
    <row r="216" spans="1:24" outlineLevel="1">
      <c r="B216" s="184" t="s">
        <v>33</v>
      </c>
      <c r="C216" s="182" t="s">
        <v>67</v>
      </c>
      <c r="F216" s="201"/>
      <c r="N216" s="733"/>
      <c r="O216" s="651">
        <f t="shared" ref="O216:X216" si="184">+O178</f>
        <v>3.474405829971019</v>
      </c>
      <c r="P216" s="201">
        <f t="shared" si="184"/>
        <v>7.1239007591890768</v>
      </c>
      <c r="Q216" s="201">
        <f t="shared" si="184"/>
        <v>10.072002036550074</v>
      </c>
      <c r="R216" s="201">
        <f t="shared" si="184"/>
        <v>13.024441684564323</v>
      </c>
      <c r="S216" s="201">
        <f t="shared" si="184"/>
        <v>15.981349854351407</v>
      </c>
      <c r="T216" s="201">
        <f t="shared" si="184"/>
        <v>18.942860601564519</v>
      </c>
      <c r="U216" s="201">
        <f t="shared" si="184"/>
        <v>21.909112003526445</v>
      </c>
      <c r="V216" s="201">
        <f t="shared" si="184"/>
        <v>24.880246279879657</v>
      </c>
      <c r="W216" s="201">
        <f t="shared" si="184"/>
        <v>27.856409916855796</v>
      </c>
      <c r="X216" s="201">
        <f t="shared" si="184"/>
        <v>30.837753795273727</v>
      </c>
    </row>
    <row r="217" spans="1:24" outlineLevel="1">
      <c r="B217" s="184" t="s">
        <v>52</v>
      </c>
      <c r="C217" s="182" t="s">
        <v>67</v>
      </c>
      <c r="F217" s="201"/>
      <c r="O217" s="651">
        <f t="shared" ref="O217:X217" si="185">+O99</f>
        <v>0.64929462992868014</v>
      </c>
      <c r="P217" s="201">
        <f t="shared" si="185"/>
        <v>1.3520489519776371</v>
      </c>
      <c r="Q217" s="201">
        <f t="shared" si="185"/>
        <v>1.3878947866709193</v>
      </c>
      <c r="R217" s="201">
        <f t="shared" si="185"/>
        <v>1.3896907813490031</v>
      </c>
      <c r="S217" s="201">
        <f t="shared" si="185"/>
        <v>1.3915406558674261</v>
      </c>
      <c r="T217" s="201">
        <f t="shared" si="185"/>
        <v>1.3934460266214064</v>
      </c>
      <c r="U217" s="201">
        <f t="shared" si="185"/>
        <v>1.3954085584980014</v>
      </c>
      <c r="V217" s="201">
        <f t="shared" si="185"/>
        <v>1.3974299663308951</v>
      </c>
      <c r="W217" s="201">
        <f t="shared" si="185"/>
        <v>1.3995120163987789</v>
      </c>
      <c r="X217" s="201">
        <f t="shared" si="185"/>
        <v>1.4016565279686972</v>
      </c>
    </row>
    <row r="218" spans="1:24" outlineLevel="1">
      <c r="B218" s="184" t="s">
        <v>53</v>
      </c>
      <c r="C218" s="182" t="s">
        <v>67</v>
      </c>
      <c r="F218" s="201"/>
      <c r="O218" s="651">
        <f>+O186</f>
        <v>0</v>
      </c>
      <c r="P218" s="201">
        <f t="shared" ref="P218:X218" si="186">+P186</f>
        <v>-0.17680230978033701</v>
      </c>
      <c r="Q218" s="201">
        <f t="shared" si="186"/>
        <v>-0.94730894185039816</v>
      </c>
      <c r="R218" s="201">
        <f t="shared" si="186"/>
        <v>-1.624731589570074</v>
      </c>
      <c r="S218" s="201">
        <f t="shared" si="186"/>
        <v>-2.2718092408358714</v>
      </c>
      <c r="T218" s="201">
        <f t="shared" si="186"/>
        <v>-2.9341078934901166</v>
      </c>
      <c r="U218" s="201">
        <f t="shared" si="186"/>
        <v>-3.6234035117933128</v>
      </c>
      <c r="V218" s="201">
        <f t="shared" si="186"/>
        <v>-4.3312916258581797</v>
      </c>
      <c r="W218" s="201">
        <f t="shared" si="186"/>
        <v>-5.0317267697513994</v>
      </c>
      <c r="X218" s="201">
        <f t="shared" si="186"/>
        <v>-5.7247349543678672</v>
      </c>
    </row>
    <row r="219" spans="1:24" outlineLevel="1">
      <c r="B219" s="216" t="s">
        <v>54</v>
      </c>
      <c r="C219" s="208" t="s">
        <v>67</v>
      </c>
      <c r="D219" s="292"/>
      <c r="E219" s="292"/>
      <c r="F219" s="294"/>
      <c r="G219" s="292"/>
      <c r="H219" s="631"/>
      <c r="I219" s="292"/>
      <c r="J219" s="292"/>
      <c r="K219" s="292"/>
      <c r="L219" s="292"/>
      <c r="M219" s="292"/>
      <c r="N219" s="649"/>
      <c r="O219" s="632">
        <f t="shared" ref="O219:X219" si="187">-O64+O166</f>
        <v>-0.47307545875699997</v>
      </c>
      <c r="P219" s="294">
        <f>-P64+P166</f>
        <v>-13.819478950404934</v>
      </c>
      <c r="Q219" s="294">
        <f t="shared" si="187"/>
        <v>-14.154096982080526</v>
      </c>
      <c r="R219" s="294">
        <f t="shared" si="187"/>
        <v>-14.489153554706384</v>
      </c>
      <c r="S219" s="294">
        <f t="shared" si="187"/>
        <v>-14.824661824511018</v>
      </c>
      <c r="T219" s="294">
        <f t="shared" si="187"/>
        <v>-15.160635342409794</v>
      </c>
      <c r="U219" s="294">
        <f t="shared" si="187"/>
        <v>-15.497088065845531</v>
      </c>
      <c r="V219" s="294">
        <f t="shared" si="187"/>
        <v>-15.834034370984339</v>
      </c>
      <c r="W219" s="294">
        <f t="shared" si="187"/>
        <v>-16.171489065277314</v>
      </c>
      <c r="X219" s="294">
        <f t="shared" si="187"/>
        <v>-16.509467400399075</v>
      </c>
    </row>
    <row r="220" spans="1:24" outlineLevel="1">
      <c r="A220" s="213"/>
      <c r="B220" s="269" t="s">
        <v>51</v>
      </c>
      <c r="C220" s="211" t="s">
        <v>67</v>
      </c>
      <c r="F220" s="219"/>
      <c r="O220" s="626">
        <f>+SUM(O216:O219)</f>
        <v>3.6506250011426991</v>
      </c>
      <c r="P220" s="219">
        <f>+SUM(P216:P219)</f>
        <v>-5.5203315490185574</v>
      </c>
      <c r="Q220" s="219">
        <f>+SUM(Q216:Q219)</f>
        <v>-3.6415091007099303</v>
      </c>
      <c r="R220" s="219">
        <f t="shared" ref="R220:X220" si="188">+SUM(R216:R219)</f>
        <v>-1.6997526783631312</v>
      </c>
      <c r="S220" s="219">
        <f t="shared" si="188"/>
        <v>0.27641944487194436</v>
      </c>
      <c r="T220" s="219">
        <f t="shared" si="188"/>
        <v>2.2415633922860145</v>
      </c>
      <c r="U220" s="219">
        <f t="shared" si="188"/>
        <v>4.184028984385602</v>
      </c>
      <c r="V220" s="219">
        <f t="shared" si="188"/>
        <v>6.1123502493680366</v>
      </c>
      <c r="W220" s="219">
        <f t="shared" si="188"/>
        <v>8.0527060982258618</v>
      </c>
      <c r="X220" s="219">
        <f t="shared" si="188"/>
        <v>10.005207968475482</v>
      </c>
    </row>
    <row r="221" spans="1:24">
      <c r="A221" s="213"/>
      <c r="B221" s="269"/>
      <c r="C221" s="211"/>
      <c r="F221" s="219"/>
      <c r="O221" s="626"/>
      <c r="P221" s="219"/>
      <c r="Q221" s="219"/>
      <c r="R221" s="219"/>
      <c r="S221" s="219"/>
      <c r="T221" s="219"/>
      <c r="U221" s="219"/>
      <c r="V221" s="219"/>
      <c r="W221" s="219"/>
      <c r="X221" s="219"/>
    </row>
    <row r="222" spans="1:24" ht="17" thickBot="1">
      <c r="A222" s="177" t="s">
        <v>10</v>
      </c>
      <c r="B222" s="610" t="s">
        <v>55</v>
      </c>
      <c r="C222" s="611"/>
      <c r="D222" s="610"/>
      <c r="E222" s="610"/>
      <c r="F222" s="610"/>
      <c r="G222" s="610"/>
      <c r="H222" s="612"/>
      <c r="I222" s="610"/>
      <c r="J222" s="610"/>
      <c r="K222" s="610"/>
      <c r="L222" s="610"/>
      <c r="M222" s="610"/>
      <c r="N222" s="613"/>
      <c r="O222" s="613"/>
      <c r="P222" s="610"/>
      <c r="Q222" s="610"/>
      <c r="R222" s="610"/>
      <c r="S222" s="610"/>
      <c r="T222" s="610"/>
      <c r="U222" s="610"/>
      <c r="V222" s="610"/>
      <c r="W222" s="610"/>
      <c r="X222" s="610"/>
    </row>
    <row r="223" spans="1:24" outlineLevel="1">
      <c r="B223" s="184" t="str">
        <f>+B181</f>
        <v>Interests Sr. Debt</v>
      </c>
      <c r="C223" s="182" t="s">
        <v>67</v>
      </c>
      <c r="F223" s="354"/>
      <c r="O223" s="651">
        <f t="shared" ref="O223:X223" si="189">+O181</f>
        <v>-2.1270951223257684</v>
      </c>
      <c r="P223" s="354">
        <f t="shared" si="189"/>
        <v>-4.2182726465714246</v>
      </c>
      <c r="Q223" s="354">
        <f t="shared" si="189"/>
        <v>-4.1221601052571391</v>
      </c>
      <c r="R223" s="354">
        <f t="shared" si="189"/>
        <v>-4.0281833981942814</v>
      </c>
      <c r="S223" s="354">
        <f t="shared" si="189"/>
        <v>-4.0324550666971382</v>
      </c>
      <c r="T223" s="354">
        <f t="shared" si="189"/>
        <v>-4.0580850777142814</v>
      </c>
      <c r="U223" s="354">
        <f t="shared" si="189"/>
        <v>-4.0580850777142814</v>
      </c>
      <c r="V223" s="354">
        <f t="shared" si="189"/>
        <v>-4.0580850777142814</v>
      </c>
      <c r="W223" s="354">
        <f t="shared" si="189"/>
        <v>-4.0580850777142814</v>
      </c>
      <c r="X223" s="354">
        <f t="shared" si="189"/>
        <v>-4.0580850777142814</v>
      </c>
    </row>
    <row r="224" spans="1:24" outlineLevel="1">
      <c r="B224" s="184" t="str">
        <f>+B182</f>
        <v>Expenses Sr. Debt</v>
      </c>
      <c r="C224" s="182" t="str">
        <f>+C182</f>
        <v>USD M</v>
      </c>
      <c r="F224" s="354"/>
      <c r="O224" s="734">
        <f t="shared" ref="O224:X224" si="190">+O182</f>
        <v>-0.94075027542857081</v>
      </c>
      <c r="P224" s="354">
        <f t="shared" si="190"/>
        <v>0</v>
      </c>
      <c r="Q224" s="354">
        <f t="shared" si="190"/>
        <v>0</v>
      </c>
      <c r="R224" s="354">
        <f t="shared" si="190"/>
        <v>0</v>
      </c>
      <c r="S224" s="354">
        <f t="shared" si="190"/>
        <v>0</v>
      </c>
      <c r="T224" s="354">
        <f t="shared" si="190"/>
        <v>0</v>
      </c>
      <c r="U224" s="354">
        <f t="shared" si="190"/>
        <v>0</v>
      </c>
      <c r="V224" s="354">
        <f t="shared" si="190"/>
        <v>0</v>
      </c>
      <c r="W224" s="354">
        <f t="shared" si="190"/>
        <v>0</v>
      </c>
      <c r="X224" s="354">
        <f t="shared" si="190"/>
        <v>0</v>
      </c>
    </row>
    <row r="225" spans="1:24" outlineLevel="1">
      <c r="B225" s="184" t="str">
        <f>+B183</f>
        <v>Interest Subordinated Debt</v>
      </c>
      <c r="C225" s="182" t="s">
        <v>67</v>
      </c>
      <c r="F225" s="354"/>
      <c r="O225" s="651">
        <f t="shared" ref="O225:X225" si="191">+O183</f>
        <v>-1.8434512669714254</v>
      </c>
      <c r="P225" s="354">
        <f t="shared" si="191"/>
        <v>-1.8434512669714254</v>
      </c>
      <c r="Q225" s="354">
        <f t="shared" si="191"/>
        <v>-1.8434512669714254</v>
      </c>
      <c r="R225" s="354">
        <f t="shared" si="191"/>
        <v>-2.1702073246302476</v>
      </c>
      <c r="S225" s="354">
        <f t="shared" si="191"/>
        <v>-2.4863893960562167</v>
      </c>
      <c r="T225" s="354">
        <f t="shared" si="191"/>
        <v>-2.6937225623809677</v>
      </c>
      <c r="U225" s="354">
        <f t="shared" si="191"/>
        <v>-2.7939945594166082</v>
      </c>
      <c r="V225" s="354">
        <f t="shared" si="191"/>
        <v>-2.7939945594166082</v>
      </c>
      <c r="W225" s="354">
        <f t="shared" si="191"/>
        <v>-2.7939945594166082</v>
      </c>
      <c r="X225" s="354">
        <f t="shared" si="191"/>
        <v>-2.7939945594166082</v>
      </c>
    </row>
    <row r="226" spans="1:24" outlineLevel="1">
      <c r="B226" s="184" t="s">
        <v>56</v>
      </c>
      <c r="C226" s="182" t="s">
        <v>67</v>
      </c>
      <c r="F226" s="201"/>
      <c r="O226" s="651">
        <f t="shared" ref="O226:X226" si="192">+O184</f>
        <v>0</v>
      </c>
      <c r="P226" s="201">
        <f t="shared" si="192"/>
        <v>0</v>
      </c>
      <c r="Q226" s="201">
        <f t="shared" si="192"/>
        <v>0</v>
      </c>
      <c r="R226" s="201">
        <f t="shared" si="192"/>
        <v>0</v>
      </c>
      <c r="S226" s="201">
        <f t="shared" si="192"/>
        <v>0</v>
      </c>
      <c r="T226" s="201">
        <f t="shared" si="192"/>
        <v>0</v>
      </c>
      <c r="U226" s="201">
        <f t="shared" si="192"/>
        <v>0</v>
      </c>
      <c r="V226" s="201">
        <f t="shared" si="192"/>
        <v>0</v>
      </c>
      <c r="W226" s="201">
        <f t="shared" si="192"/>
        <v>0</v>
      </c>
      <c r="X226" s="201">
        <f t="shared" si="192"/>
        <v>0</v>
      </c>
    </row>
    <row r="227" spans="1:24" outlineLevel="1">
      <c r="B227" s="184"/>
    </row>
    <row r="228" spans="1:24" outlineLevel="1">
      <c r="B228" s="184" t="s">
        <v>57</v>
      </c>
      <c r="C228" s="182" t="s">
        <v>67</v>
      </c>
      <c r="F228" s="201"/>
      <c r="O228" s="651">
        <f t="shared" ref="O228:X228" si="193">-(O195-N195)</f>
        <v>-0.5827796033883601</v>
      </c>
      <c r="P228" s="201">
        <f t="shared" si="193"/>
        <v>9.7386041955783327</v>
      </c>
      <c r="Q228" s="201">
        <f t="shared" si="193"/>
        <v>1.8441754078100194</v>
      </c>
      <c r="R228" s="201">
        <f t="shared" si="193"/>
        <v>0</v>
      </c>
      <c r="S228" s="201">
        <f t="shared" si="193"/>
        <v>0</v>
      </c>
      <c r="T228" s="201">
        <f t="shared" si="193"/>
        <v>0</v>
      </c>
      <c r="U228" s="201">
        <f t="shared" si="193"/>
        <v>-0.1259439066713206</v>
      </c>
      <c r="V228" s="201">
        <f t="shared" si="193"/>
        <v>-2.0542651716824363</v>
      </c>
      <c r="W228" s="201">
        <f t="shared" si="193"/>
        <v>-3.9946210205578208</v>
      </c>
      <c r="X228" s="201">
        <f t="shared" si="193"/>
        <v>-5.9471228907496219</v>
      </c>
    </row>
    <row r="229" spans="1:24" outlineLevel="1">
      <c r="B229" s="184" t="s">
        <v>725</v>
      </c>
      <c r="C229" s="182" t="s">
        <v>67</v>
      </c>
      <c r="F229" s="201"/>
      <c r="O229" s="651">
        <f t="shared" ref="O229:X229" si="194">O204-N204</f>
        <v>0</v>
      </c>
      <c r="P229" s="201">
        <f t="shared" si="194"/>
        <v>0</v>
      </c>
      <c r="Q229" s="201">
        <f t="shared" si="194"/>
        <v>0</v>
      </c>
      <c r="R229" s="201">
        <f t="shared" si="194"/>
        <v>0</v>
      </c>
      <c r="S229" s="201">
        <f t="shared" si="194"/>
        <v>0</v>
      </c>
      <c r="T229" s="201">
        <f t="shared" si="194"/>
        <v>0</v>
      </c>
      <c r="U229" s="201">
        <f t="shared" si="194"/>
        <v>0</v>
      </c>
      <c r="V229" s="201">
        <f t="shared" si="194"/>
        <v>0</v>
      </c>
      <c r="W229" s="201">
        <f t="shared" si="194"/>
        <v>0</v>
      </c>
      <c r="X229" s="201">
        <f t="shared" si="194"/>
        <v>0</v>
      </c>
    </row>
    <row r="230" spans="1:24" outlineLevel="1">
      <c r="B230" s="184" t="s">
        <v>430</v>
      </c>
      <c r="C230" s="182" t="s">
        <v>67</v>
      </c>
      <c r="F230" s="201"/>
      <c r="O230" s="651">
        <f t="shared" ref="O230:X230" si="195">O205-N205</f>
        <v>1.8434512669714254</v>
      </c>
      <c r="P230" s="201">
        <f t="shared" si="195"/>
        <v>1.8434512669714254</v>
      </c>
      <c r="Q230" s="201">
        <f t="shared" si="195"/>
        <v>1.8434512669714254</v>
      </c>
      <c r="R230" s="201">
        <f t="shared" si="195"/>
        <v>2.1702073246302476</v>
      </c>
      <c r="S230" s="201">
        <f t="shared" si="195"/>
        <v>2.4863893960562171</v>
      </c>
      <c r="T230" s="201">
        <f t="shared" si="195"/>
        <v>2.6937225623809677</v>
      </c>
      <c r="U230" s="201">
        <f t="shared" si="195"/>
        <v>2.7939945594166087</v>
      </c>
      <c r="V230" s="201">
        <f t="shared" si="195"/>
        <v>2.7939945594166087</v>
      </c>
      <c r="W230" s="201">
        <f t="shared" si="195"/>
        <v>2.7939945594166069</v>
      </c>
      <c r="X230" s="201">
        <f t="shared" si="195"/>
        <v>2.7939945594166069</v>
      </c>
    </row>
    <row r="231" spans="1:24" outlineLevel="1">
      <c r="B231" s="184" t="s">
        <v>195</v>
      </c>
      <c r="C231" s="182" t="s">
        <v>67</v>
      </c>
      <c r="F231" s="201"/>
      <c r="O231" s="651">
        <f t="shared" ref="O231:X231" si="196">O206-N206</f>
        <v>0</v>
      </c>
      <c r="P231" s="201">
        <f t="shared" si="196"/>
        <v>0</v>
      </c>
      <c r="Q231" s="201">
        <f t="shared" si="196"/>
        <v>2.7229671471568526</v>
      </c>
      <c r="R231" s="201">
        <f t="shared" si="196"/>
        <v>2.6348505952164096</v>
      </c>
      <c r="S231" s="201">
        <f t="shared" si="196"/>
        <v>1.7277763860395901</v>
      </c>
      <c r="T231" s="201">
        <f t="shared" si="196"/>
        <v>0.83559997529700425</v>
      </c>
      <c r="U231" s="201">
        <f t="shared" si="196"/>
        <v>0</v>
      </c>
      <c r="V231" s="201">
        <f t="shared" si="196"/>
        <v>0</v>
      </c>
      <c r="W231" s="201">
        <f t="shared" si="196"/>
        <v>0</v>
      </c>
      <c r="X231" s="201">
        <f t="shared" si="196"/>
        <v>0</v>
      </c>
    </row>
    <row r="232" spans="1:24" outlineLevel="1">
      <c r="B232" s="184"/>
    </row>
    <row r="233" spans="1:24" outlineLevel="1">
      <c r="B233" s="216" t="s">
        <v>58</v>
      </c>
      <c r="C233" s="208" t="s">
        <v>67</v>
      </c>
      <c r="D233" s="292"/>
      <c r="E233" s="292"/>
      <c r="F233" s="294"/>
      <c r="G233" s="292"/>
      <c r="H233" s="631"/>
      <c r="I233" s="292"/>
      <c r="J233" s="292"/>
      <c r="K233" s="292"/>
      <c r="L233" s="292"/>
      <c r="M233" s="292"/>
      <c r="N233" s="649"/>
      <c r="O233" s="632">
        <f t="shared" ref="O233:X233" si="197">+O211-N211-O187</f>
        <v>0</v>
      </c>
      <c r="P233" s="294">
        <f t="shared" si="197"/>
        <v>1.1102230246251565E-15</v>
      </c>
      <c r="Q233" s="294">
        <f t="shared" si="197"/>
        <v>3.1965266510102177</v>
      </c>
      <c r="R233" s="294">
        <f t="shared" si="197"/>
        <v>3.0930854813410038</v>
      </c>
      <c r="S233" s="294">
        <f t="shared" si="197"/>
        <v>2.0282592357856029</v>
      </c>
      <c r="T233" s="294">
        <f t="shared" si="197"/>
        <v>0.98092171013126261</v>
      </c>
      <c r="U233" s="294">
        <f t="shared" si="197"/>
        <v>0</v>
      </c>
      <c r="V233" s="294">
        <f t="shared" si="197"/>
        <v>0</v>
      </c>
      <c r="W233" s="294">
        <f t="shared" si="197"/>
        <v>0</v>
      </c>
      <c r="X233" s="294">
        <f t="shared" si="197"/>
        <v>0</v>
      </c>
    </row>
    <row r="234" spans="1:24" outlineLevel="1">
      <c r="A234" s="213"/>
      <c r="B234" s="269" t="s">
        <v>55</v>
      </c>
      <c r="C234" s="211" t="s">
        <v>67</v>
      </c>
      <c r="F234" s="219"/>
      <c r="O234" s="626">
        <f t="shared" ref="O234:X234" si="198">+SUM(O223:O233)</f>
        <v>-3.6506250011426991</v>
      </c>
      <c r="P234" s="219">
        <f t="shared" si="198"/>
        <v>5.5203315490069089</v>
      </c>
      <c r="Q234" s="219">
        <f t="shared" si="198"/>
        <v>3.6415091007199507</v>
      </c>
      <c r="R234" s="219">
        <f t="shared" si="198"/>
        <v>1.699752678363132</v>
      </c>
      <c r="S234" s="219">
        <f t="shared" si="198"/>
        <v>-0.27641944487194525</v>
      </c>
      <c r="T234" s="219">
        <f t="shared" si="198"/>
        <v>-2.2415633922860145</v>
      </c>
      <c r="U234" s="219">
        <f t="shared" si="198"/>
        <v>-4.184028984385602</v>
      </c>
      <c r="V234" s="219">
        <f t="shared" si="198"/>
        <v>-6.1123502493967177</v>
      </c>
      <c r="W234" s="219">
        <f t="shared" si="198"/>
        <v>-8.0527060982721039</v>
      </c>
      <c r="X234" s="219">
        <f t="shared" si="198"/>
        <v>-10.005207968463905</v>
      </c>
    </row>
    <row r="235" spans="1:24" outlineLevel="1">
      <c r="A235" s="213"/>
      <c r="B235" s="269"/>
      <c r="C235" s="211"/>
    </row>
    <row r="236" spans="1:24" s="240" customFormat="1" outlineLevel="1">
      <c r="B236" s="507" t="s">
        <v>7</v>
      </c>
      <c r="C236" s="182" t="s">
        <v>183</v>
      </c>
      <c r="D236" s="735">
        <f>+SUM(N236:X236)</f>
        <v>0</v>
      </c>
      <c r="F236" s="735"/>
      <c r="H236" s="736"/>
      <c r="N236" s="737"/>
      <c r="O236" s="738">
        <f t="shared" ref="O236:X236" si="199">ROUND(SUM(O234,O220),6)</f>
        <v>0</v>
      </c>
      <c r="P236" s="735">
        <f t="shared" si="199"/>
        <v>0</v>
      </c>
      <c r="Q236" s="735">
        <f t="shared" si="199"/>
        <v>0</v>
      </c>
      <c r="R236" s="735">
        <f t="shared" si="199"/>
        <v>0</v>
      </c>
      <c r="S236" s="735">
        <f t="shared" si="199"/>
        <v>0</v>
      </c>
      <c r="T236" s="735">
        <f t="shared" si="199"/>
        <v>0</v>
      </c>
      <c r="U236" s="735">
        <f t="shared" si="199"/>
        <v>0</v>
      </c>
      <c r="V236" s="735">
        <f t="shared" si="199"/>
        <v>0</v>
      </c>
      <c r="W236" s="735">
        <f t="shared" si="199"/>
        <v>0</v>
      </c>
      <c r="X236" s="735">
        <f t="shared" si="199"/>
        <v>0</v>
      </c>
    </row>
    <row r="238" spans="1:24" ht="17" thickBot="1">
      <c r="A238" s="177" t="s">
        <v>10</v>
      </c>
      <c r="B238" s="610" t="s">
        <v>59</v>
      </c>
      <c r="C238" s="611"/>
      <c r="D238" s="610"/>
      <c r="E238" s="610"/>
      <c r="F238" s="610"/>
      <c r="G238" s="610"/>
      <c r="H238" s="612"/>
      <c r="I238" s="610"/>
      <c r="J238" s="610"/>
      <c r="K238" s="610"/>
      <c r="L238" s="610"/>
      <c r="M238" s="610"/>
      <c r="N238" s="613"/>
      <c r="O238" s="613"/>
      <c r="P238" s="610"/>
      <c r="Q238" s="610"/>
      <c r="R238" s="610"/>
      <c r="S238" s="610"/>
      <c r="T238" s="610"/>
      <c r="U238" s="610"/>
      <c r="V238" s="610"/>
      <c r="W238" s="610"/>
      <c r="X238" s="610"/>
    </row>
    <row r="239" spans="1:24" outlineLevel="1">
      <c r="B239" s="184" t="s">
        <v>33</v>
      </c>
      <c r="C239" s="182" t="s">
        <v>67</v>
      </c>
      <c r="F239" s="201"/>
      <c r="O239" s="651">
        <f t="shared" ref="O239:X239" si="200">+O216</f>
        <v>3.474405829971019</v>
      </c>
      <c r="P239" s="201">
        <f t="shared" si="200"/>
        <v>7.1239007591890768</v>
      </c>
      <c r="Q239" s="201">
        <f t="shared" si="200"/>
        <v>10.072002036550074</v>
      </c>
      <c r="R239" s="201">
        <f t="shared" si="200"/>
        <v>13.024441684564323</v>
      </c>
      <c r="S239" s="201">
        <f t="shared" si="200"/>
        <v>15.981349854351407</v>
      </c>
      <c r="T239" s="201">
        <f t="shared" si="200"/>
        <v>18.942860601564519</v>
      </c>
      <c r="U239" s="201">
        <f t="shared" si="200"/>
        <v>21.909112003526445</v>
      </c>
      <c r="V239" s="201">
        <f t="shared" si="200"/>
        <v>24.880246279879657</v>
      </c>
      <c r="W239" s="201">
        <f t="shared" si="200"/>
        <v>27.856409916855796</v>
      </c>
      <c r="X239" s="201">
        <f t="shared" si="200"/>
        <v>30.837753795273727</v>
      </c>
    </row>
    <row r="240" spans="1:24" outlineLevel="1">
      <c r="B240" s="184" t="s">
        <v>52</v>
      </c>
      <c r="C240" s="182" t="s">
        <v>67</v>
      </c>
      <c r="F240" s="201"/>
      <c r="O240" s="651">
        <f t="shared" ref="O240:X240" si="201">+O217</f>
        <v>0.64929462992868014</v>
      </c>
      <c r="P240" s="201">
        <f t="shared" si="201"/>
        <v>1.3520489519776371</v>
      </c>
      <c r="Q240" s="201">
        <f t="shared" si="201"/>
        <v>1.3878947866709193</v>
      </c>
      <c r="R240" s="201">
        <f t="shared" si="201"/>
        <v>1.3896907813490031</v>
      </c>
      <c r="S240" s="201">
        <f t="shared" si="201"/>
        <v>1.3915406558674261</v>
      </c>
      <c r="T240" s="201">
        <f t="shared" si="201"/>
        <v>1.3934460266214064</v>
      </c>
      <c r="U240" s="201">
        <f t="shared" si="201"/>
        <v>1.3954085584980014</v>
      </c>
      <c r="V240" s="201">
        <f t="shared" si="201"/>
        <v>1.3974299663308951</v>
      </c>
      <c r="W240" s="201">
        <f t="shared" si="201"/>
        <v>1.3995120163987789</v>
      </c>
      <c r="X240" s="201">
        <f t="shared" si="201"/>
        <v>1.4016565279686972</v>
      </c>
    </row>
    <row r="241" spans="2:24" outlineLevel="1">
      <c r="B241" s="184" t="s">
        <v>53</v>
      </c>
      <c r="C241" s="182" t="s">
        <v>67</v>
      </c>
      <c r="F241" s="201"/>
      <c r="O241" s="651">
        <f t="shared" ref="O241:X241" si="202">+O186</f>
        <v>0</v>
      </c>
      <c r="P241" s="201">
        <f t="shared" si="202"/>
        <v>-0.17680230978033701</v>
      </c>
      <c r="Q241" s="201">
        <f t="shared" si="202"/>
        <v>-0.94730894185039816</v>
      </c>
      <c r="R241" s="201">
        <f t="shared" si="202"/>
        <v>-1.624731589570074</v>
      </c>
      <c r="S241" s="201">
        <f t="shared" si="202"/>
        <v>-2.2718092408358714</v>
      </c>
      <c r="T241" s="201">
        <f t="shared" si="202"/>
        <v>-2.9341078934901166</v>
      </c>
      <c r="U241" s="201">
        <f t="shared" si="202"/>
        <v>-3.6234035117933128</v>
      </c>
      <c r="V241" s="201">
        <f t="shared" si="202"/>
        <v>-4.3312916258581797</v>
      </c>
      <c r="W241" s="201">
        <f t="shared" si="202"/>
        <v>-5.0317267697513994</v>
      </c>
      <c r="X241" s="201">
        <f t="shared" si="202"/>
        <v>-5.7247349543678672</v>
      </c>
    </row>
    <row r="242" spans="2:24" outlineLevel="1">
      <c r="B242" s="216" t="s">
        <v>54</v>
      </c>
      <c r="C242" s="208" t="s">
        <v>67</v>
      </c>
      <c r="D242" s="292"/>
      <c r="E242" s="292"/>
      <c r="F242" s="294"/>
      <c r="G242" s="292"/>
      <c r="H242" s="631"/>
      <c r="I242" s="292"/>
      <c r="J242" s="292"/>
      <c r="K242" s="292"/>
      <c r="L242" s="292"/>
      <c r="M242" s="292"/>
      <c r="N242" s="649"/>
      <c r="O242" s="632">
        <f t="shared" ref="O242:X242" si="203">O219</f>
        <v>-0.47307545875699997</v>
      </c>
      <c r="P242" s="294">
        <f>P219</f>
        <v>-13.819478950404934</v>
      </c>
      <c r="Q242" s="294">
        <f t="shared" si="203"/>
        <v>-14.154096982080526</v>
      </c>
      <c r="R242" s="294">
        <f t="shared" si="203"/>
        <v>-14.489153554706384</v>
      </c>
      <c r="S242" s="294">
        <f t="shared" si="203"/>
        <v>-14.824661824511018</v>
      </c>
      <c r="T242" s="294">
        <f t="shared" si="203"/>
        <v>-15.160635342409794</v>
      </c>
      <c r="U242" s="294">
        <f t="shared" si="203"/>
        <v>-15.497088065845531</v>
      </c>
      <c r="V242" s="294">
        <f t="shared" si="203"/>
        <v>-15.834034370984339</v>
      </c>
      <c r="W242" s="294">
        <f t="shared" si="203"/>
        <v>-16.171489065277314</v>
      </c>
      <c r="X242" s="294">
        <f t="shared" si="203"/>
        <v>-16.509467400399075</v>
      </c>
    </row>
    <row r="243" spans="2:24" s="213" customFormat="1" outlineLevel="1">
      <c r="B243" s="269" t="s">
        <v>51</v>
      </c>
      <c r="C243" s="211" t="s">
        <v>67</v>
      </c>
      <c r="F243" s="219"/>
      <c r="H243" s="624"/>
      <c r="N243" s="739"/>
      <c r="O243" s="626">
        <f t="shared" ref="O243:X243" si="204">+SUM(O239:O242)</f>
        <v>3.6506250011426991</v>
      </c>
      <c r="P243" s="219">
        <f t="shared" si="204"/>
        <v>-5.5203315490185574</v>
      </c>
      <c r="Q243" s="219">
        <f t="shared" si="204"/>
        <v>-3.6415091007099303</v>
      </c>
      <c r="R243" s="219">
        <f t="shared" si="204"/>
        <v>-1.6997526783631312</v>
      </c>
      <c r="S243" s="219">
        <f t="shared" si="204"/>
        <v>0.27641944487194436</v>
      </c>
      <c r="T243" s="219">
        <f t="shared" si="204"/>
        <v>2.2415633922860145</v>
      </c>
      <c r="U243" s="219">
        <f t="shared" si="204"/>
        <v>4.184028984385602</v>
      </c>
      <c r="V243" s="219">
        <f t="shared" si="204"/>
        <v>6.1123502493680366</v>
      </c>
      <c r="W243" s="219">
        <f t="shared" si="204"/>
        <v>8.0527060982258618</v>
      </c>
      <c r="X243" s="219">
        <f t="shared" si="204"/>
        <v>10.005207968475482</v>
      </c>
    </row>
    <row r="244" spans="2:24" outlineLevel="1"/>
    <row r="245" spans="2:24" outlineLevel="1">
      <c r="B245" s="184" t="str">
        <f t="shared" ref="B245:C247" si="205">+B223</f>
        <v>Interests Sr. Debt</v>
      </c>
      <c r="C245" s="182" t="str">
        <f t="shared" si="205"/>
        <v>USD M</v>
      </c>
      <c r="F245" s="201"/>
      <c r="O245" s="651">
        <f t="shared" ref="O245:X245" si="206">+O223</f>
        <v>-2.1270951223257684</v>
      </c>
      <c r="P245" s="201">
        <f t="shared" si="206"/>
        <v>-4.2182726465714246</v>
      </c>
      <c r="Q245" s="201">
        <f t="shared" si="206"/>
        <v>-4.1221601052571391</v>
      </c>
      <c r="R245" s="201">
        <f t="shared" si="206"/>
        <v>-4.0281833981942814</v>
      </c>
      <c r="S245" s="201">
        <f t="shared" si="206"/>
        <v>-4.0324550666971382</v>
      </c>
      <c r="T245" s="201">
        <f t="shared" si="206"/>
        <v>-4.0580850777142814</v>
      </c>
      <c r="U245" s="201">
        <f t="shared" si="206"/>
        <v>-4.0580850777142814</v>
      </c>
      <c r="V245" s="201">
        <f t="shared" si="206"/>
        <v>-4.0580850777142814</v>
      </c>
      <c r="W245" s="201">
        <f t="shared" si="206"/>
        <v>-4.0580850777142814</v>
      </c>
      <c r="X245" s="201">
        <f t="shared" si="206"/>
        <v>-4.0580850777142814</v>
      </c>
    </row>
    <row r="246" spans="2:24" outlineLevel="1">
      <c r="B246" s="184" t="str">
        <f t="shared" si="205"/>
        <v>Expenses Sr. Debt</v>
      </c>
      <c r="C246" s="182" t="str">
        <f t="shared" si="205"/>
        <v>USD M</v>
      </c>
      <c r="F246" s="201"/>
      <c r="O246" s="651">
        <f t="shared" ref="O246:X246" si="207">+O224</f>
        <v>-0.94075027542857081</v>
      </c>
      <c r="P246" s="201">
        <f t="shared" si="207"/>
        <v>0</v>
      </c>
      <c r="Q246" s="201">
        <f t="shared" si="207"/>
        <v>0</v>
      </c>
      <c r="R246" s="201">
        <f t="shared" si="207"/>
        <v>0</v>
      </c>
      <c r="S246" s="201">
        <f t="shared" si="207"/>
        <v>0</v>
      </c>
      <c r="T246" s="201">
        <f t="shared" si="207"/>
        <v>0</v>
      </c>
      <c r="U246" s="201">
        <f t="shared" si="207"/>
        <v>0</v>
      </c>
      <c r="V246" s="201">
        <f t="shared" si="207"/>
        <v>0</v>
      </c>
      <c r="W246" s="201">
        <f t="shared" si="207"/>
        <v>0</v>
      </c>
      <c r="X246" s="201">
        <f t="shared" si="207"/>
        <v>0</v>
      </c>
    </row>
    <row r="247" spans="2:24" outlineLevel="1">
      <c r="B247" s="184" t="str">
        <f t="shared" si="205"/>
        <v>Interest Subordinated Debt</v>
      </c>
      <c r="C247" s="182" t="str">
        <f t="shared" si="205"/>
        <v>USD M</v>
      </c>
      <c r="F247" s="201"/>
      <c r="O247" s="651">
        <f t="shared" ref="O247:X247" si="208">+O225</f>
        <v>-1.8434512669714254</v>
      </c>
      <c r="P247" s="201">
        <f t="shared" si="208"/>
        <v>-1.8434512669714254</v>
      </c>
      <c r="Q247" s="201">
        <f t="shared" si="208"/>
        <v>-1.8434512669714254</v>
      </c>
      <c r="R247" s="201">
        <f t="shared" si="208"/>
        <v>-2.1702073246302476</v>
      </c>
      <c r="S247" s="201">
        <f t="shared" si="208"/>
        <v>-2.4863893960562167</v>
      </c>
      <c r="T247" s="201">
        <f t="shared" si="208"/>
        <v>-2.6937225623809677</v>
      </c>
      <c r="U247" s="201">
        <f t="shared" si="208"/>
        <v>-2.7939945594166082</v>
      </c>
      <c r="V247" s="201">
        <f t="shared" si="208"/>
        <v>-2.7939945594166082</v>
      </c>
      <c r="W247" s="201">
        <f t="shared" si="208"/>
        <v>-2.7939945594166082</v>
      </c>
      <c r="X247" s="201">
        <f t="shared" si="208"/>
        <v>-2.7939945594166082</v>
      </c>
    </row>
    <row r="248" spans="2:24" outlineLevel="1">
      <c r="B248" s="184" t="s">
        <v>56</v>
      </c>
      <c r="C248" s="182" t="s">
        <v>67</v>
      </c>
      <c r="F248" s="201"/>
      <c r="O248" s="651">
        <f t="shared" ref="O248:X248" si="209">+O226</f>
        <v>0</v>
      </c>
      <c r="P248" s="201">
        <f t="shared" si="209"/>
        <v>0</v>
      </c>
      <c r="Q248" s="201">
        <f t="shared" si="209"/>
        <v>0</v>
      </c>
      <c r="R248" s="201">
        <f t="shared" si="209"/>
        <v>0</v>
      </c>
      <c r="S248" s="201">
        <f t="shared" si="209"/>
        <v>0</v>
      </c>
      <c r="T248" s="201">
        <f t="shared" si="209"/>
        <v>0</v>
      </c>
      <c r="U248" s="201">
        <f t="shared" si="209"/>
        <v>0</v>
      </c>
      <c r="V248" s="201">
        <f t="shared" si="209"/>
        <v>0</v>
      </c>
      <c r="W248" s="201">
        <f t="shared" si="209"/>
        <v>0</v>
      </c>
      <c r="X248" s="201">
        <f t="shared" si="209"/>
        <v>0</v>
      </c>
    </row>
    <row r="249" spans="2:24" outlineLevel="1">
      <c r="B249" s="184"/>
      <c r="C249" s="182"/>
      <c r="F249" s="201"/>
      <c r="O249" s="651"/>
      <c r="P249" s="201"/>
      <c r="Q249" s="201"/>
      <c r="R249" s="201"/>
      <c r="S249" s="201"/>
      <c r="T249" s="201"/>
      <c r="U249" s="201"/>
      <c r="V249" s="201"/>
      <c r="W249" s="201"/>
      <c r="X249" s="201"/>
    </row>
    <row r="250" spans="2:24" outlineLevel="1">
      <c r="B250" s="184" t="str">
        <f>+B229</f>
        <v>Variations in Sr. Debt</v>
      </c>
      <c r="C250" s="182" t="s">
        <v>67</v>
      </c>
      <c r="F250" s="201"/>
      <c r="O250" s="651">
        <f t="shared" ref="O250:X250" si="210">+O229</f>
        <v>0</v>
      </c>
      <c r="P250" s="201">
        <f t="shared" si="210"/>
        <v>0</v>
      </c>
      <c r="Q250" s="201">
        <f t="shared" si="210"/>
        <v>0</v>
      </c>
      <c r="R250" s="201">
        <f t="shared" si="210"/>
        <v>0</v>
      </c>
      <c r="S250" s="201">
        <f t="shared" si="210"/>
        <v>0</v>
      </c>
      <c r="T250" s="201">
        <f t="shared" si="210"/>
        <v>0</v>
      </c>
      <c r="U250" s="201">
        <f t="shared" si="210"/>
        <v>0</v>
      </c>
      <c r="V250" s="201">
        <f t="shared" si="210"/>
        <v>0</v>
      </c>
      <c r="W250" s="201">
        <f t="shared" si="210"/>
        <v>0</v>
      </c>
      <c r="X250" s="201">
        <f t="shared" si="210"/>
        <v>0</v>
      </c>
    </row>
    <row r="251" spans="2:24" outlineLevel="1">
      <c r="B251" s="184" t="s">
        <v>430</v>
      </c>
      <c r="C251" s="182" t="s">
        <v>67</v>
      </c>
      <c r="F251" s="201"/>
      <c r="O251" s="651">
        <f t="shared" ref="O251:X251" si="211">+O230</f>
        <v>1.8434512669714254</v>
      </c>
      <c r="P251" s="201">
        <f t="shared" si="211"/>
        <v>1.8434512669714254</v>
      </c>
      <c r="Q251" s="201">
        <f t="shared" si="211"/>
        <v>1.8434512669714254</v>
      </c>
      <c r="R251" s="201">
        <f t="shared" si="211"/>
        <v>2.1702073246302476</v>
      </c>
      <c r="S251" s="201">
        <f t="shared" si="211"/>
        <v>2.4863893960562171</v>
      </c>
      <c r="T251" s="201">
        <f t="shared" si="211"/>
        <v>2.6937225623809677</v>
      </c>
      <c r="U251" s="201">
        <f t="shared" si="211"/>
        <v>2.7939945594166087</v>
      </c>
      <c r="V251" s="201">
        <f t="shared" si="211"/>
        <v>2.7939945594166087</v>
      </c>
      <c r="W251" s="201">
        <f t="shared" si="211"/>
        <v>2.7939945594166069</v>
      </c>
      <c r="X251" s="201">
        <f t="shared" si="211"/>
        <v>2.7939945594166069</v>
      </c>
    </row>
    <row r="252" spans="2:24" outlineLevel="1">
      <c r="B252" s="184" t="str">
        <f>+B231</f>
        <v>Variations in Subordinated debt</v>
      </c>
      <c r="C252" s="182" t="s">
        <v>67</v>
      </c>
      <c r="F252" s="201"/>
      <c r="O252" s="651">
        <f>+O231</f>
        <v>0</v>
      </c>
      <c r="P252" s="201">
        <f>+P231</f>
        <v>0</v>
      </c>
      <c r="Q252" s="201">
        <f t="shared" ref="Q252:X252" si="212">+Q231</f>
        <v>2.7229671471568526</v>
      </c>
      <c r="R252" s="201">
        <f t="shared" si="212"/>
        <v>2.6348505952164096</v>
      </c>
      <c r="S252" s="201">
        <f t="shared" si="212"/>
        <v>1.7277763860395901</v>
      </c>
      <c r="T252" s="201">
        <f t="shared" si="212"/>
        <v>0.83559997529700425</v>
      </c>
      <c r="U252" s="201">
        <f t="shared" si="212"/>
        <v>0</v>
      </c>
      <c r="V252" s="201">
        <f t="shared" si="212"/>
        <v>0</v>
      </c>
      <c r="W252" s="201">
        <f t="shared" si="212"/>
        <v>0</v>
      </c>
      <c r="X252" s="201">
        <f t="shared" si="212"/>
        <v>0</v>
      </c>
    </row>
    <row r="253" spans="2:24" outlineLevel="1">
      <c r="B253" s="184"/>
      <c r="C253" s="182"/>
    </row>
    <row r="254" spans="2:24" outlineLevel="1">
      <c r="B254" s="216" t="s">
        <v>58</v>
      </c>
      <c r="C254" s="208" t="s">
        <v>67</v>
      </c>
      <c r="D254" s="292"/>
      <c r="E254" s="292"/>
      <c r="F254" s="294"/>
      <c r="G254" s="292"/>
      <c r="H254" s="631"/>
      <c r="I254" s="292"/>
      <c r="J254" s="292"/>
      <c r="K254" s="292"/>
      <c r="L254" s="292"/>
      <c r="M254" s="292"/>
      <c r="N254" s="649"/>
      <c r="O254" s="632">
        <f t="shared" ref="O254:X254" si="213">+O233</f>
        <v>0</v>
      </c>
      <c r="P254" s="294">
        <f t="shared" si="213"/>
        <v>1.1102230246251565E-15</v>
      </c>
      <c r="Q254" s="294">
        <f t="shared" si="213"/>
        <v>3.1965266510102177</v>
      </c>
      <c r="R254" s="294">
        <f t="shared" si="213"/>
        <v>3.0930854813410038</v>
      </c>
      <c r="S254" s="294">
        <f t="shared" si="213"/>
        <v>2.0282592357856029</v>
      </c>
      <c r="T254" s="294">
        <f t="shared" si="213"/>
        <v>0.98092171013126261</v>
      </c>
      <c r="U254" s="294">
        <f t="shared" si="213"/>
        <v>0</v>
      </c>
      <c r="V254" s="294">
        <f t="shared" si="213"/>
        <v>0</v>
      </c>
      <c r="W254" s="294">
        <f t="shared" si="213"/>
        <v>0</v>
      </c>
      <c r="X254" s="294">
        <f t="shared" si="213"/>
        <v>0</v>
      </c>
    </row>
    <row r="255" spans="2:24" s="213" customFormat="1" outlineLevel="1">
      <c r="B255" s="269" t="s">
        <v>59</v>
      </c>
      <c r="C255" s="211" t="s">
        <v>67</v>
      </c>
      <c r="F255" s="219"/>
      <c r="H255" s="624"/>
      <c r="N255" s="739"/>
      <c r="O255" s="626">
        <f t="shared" ref="O255:X255" si="214">+SUM(O243:O254)</f>
        <v>0.58277960338835988</v>
      </c>
      <c r="P255" s="219">
        <f t="shared" si="214"/>
        <v>-9.7386041955899803</v>
      </c>
      <c r="Q255" s="219">
        <f t="shared" si="214"/>
        <v>-1.8441754077999981</v>
      </c>
      <c r="R255" s="219">
        <f t="shared" si="214"/>
        <v>0</v>
      </c>
      <c r="S255" s="219">
        <f t="shared" si="214"/>
        <v>0</v>
      </c>
      <c r="T255" s="219">
        <f t="shared" si="214"/>
        <v>0</v>
      </c>
      <c r="U255" s="219">
        <f t="shared" si="214"/>
        <v>0.12594390667132105</v>
      </c>
      <c r="V255" s="219">
        <f t="shared" si="214"/>
        <v>2.0542651716537557</v>
      </c>
      <c r="W255" s="219">
        <f t="shared" si="214"/>
        <v>3.9946210205115791</v>
      </c>
      <c r="X255" s="219">
        <f t="shared" si="214"/>
        <v>5.9471228907611984</v>
      </c>
    </row>
    <row r="256" spans="2:24" outlineLevel="1"/>
    <row r="257" spans="1:24" outlineLevel="1">
      <c r="B257" s="216" t="s">
        <v>60</v>
      </c>
      <c r="C257" s="208" t="s">
        <v>67</v>
      </c>
      <c r="D257" s="292"/>
      <c r="E257" s="292"/>
      <c r="F257" s="294"/>
      <c r="G257" s="292"/>
      <c r="H257" s="631"/>
      <c r="I257" s="292"/>
      <c r="J257" s="292"/>
      <c r="K257" s="292"/>
      <c r="L257" s="292"/>
      <c r="M257" s="292"/>
      <c r="N257" s="649"/>
      <c r="O257" s="632">
        <f>+N195</f>
        <v>10.999999999999993</v>
      </c>
      <c r="P257" s="294">
        <f>+O258</f>
        <v>11.582779603400001</v>
      </c>
      <c r="Q257" s="294">
        <f t="shared" ref="Q257:X257" si="215">+P258</f>
        <v>1.8441754078000001</v>
      </c>
      <c r="R257" s="294">
        <f t="shared" si="215"/>
        <v>0</v>
      </c>
      <c r="S257" s="294">
        <f t="shared" si="215"/>
        <v>0</v>
      </c>
      <c r="T257" s="294">
        <f t="shared" si="215"/>
        <v>0</v>
      </c>
      <c r="U257" s="294">
        <f t="shared" si="215"/>
        <v>0</v>
      </c>
      <c r="V257" s="294">
        <f t="shared" si="215"/>
        <v>0.1259439067</v>
      </c>
      <c r="W257" s="294">
        <f t="shared" si="215"/>
        <v>2.1802090783999999</v>
      </c>
      <c r="X257" s="294">
        <f t="shared" si="215"/>
        <v>6.1748300989000002</v>
      </c>
    </row>
    <row r="258" spans="1:24" outlineLevel="1">
      <c r="A258" s="213"/>
      <c r="B258" s="269" t="s">
        <v>61</v>
      </c>
      <c r="C258" s="211" t="s">
        <v>67</v>
      </c>
      <c r="F258" s="219"/>
      <c r="O258" s="626">
        <f>ROUND(+SUM(O255:O257),10)</f>
        <v>11.582779603400001</v>
      </c>
      <c r="P258" s="219">
        <f t="shared" ref="P258:X258" si="216">ROUND(+SUM(P255:P257),10)</f>
        <v>1.8441754078000001</v>
      </c>
      <c r="Q258" s="219">
        <f t="shared" si="216"/>
        <v>0</v>
      </c>
      <c r="R258" s="219">
        <f t="shared" si="216"/>
        <v>0</v>
      </c>
      <c r="S258" s="219">
        <f t="shared" si="216"/>
        <v>0</v>
      </c>
      <c r="T258" s="219">
        <f t="shared" si="216"/>
        <v>0</v>
      </c>
      <c r="U258" s="219">
        <f t="shared" si="216"/>
        <v>0.1259439067</v>
      </c>
      <c r="V258" s="219">
        <f t="shared" si="216"/>
        <v>2.1802090783999999</v>
      </c>
      <c r="W258" s="219">
        <f t="shared" si="216"/>
        <v>6.1748300989000002</v>
      </c>
      <c r="X258" s="219">
        <f t="shared" si="216"/>
        <v>12.1219529897</v>
      </c>
    </row>
    <row r="259" spans="1:24" outlineLevel="1">
      <c r="A259" s="213"/>
      <c r="B259" s="269"/>
      <c r="C259" s="211"/>
    </row>
    <row r="260" spans="1:24" outlineLevel="1">
      <c r="B260" s="507" t="s">
        <v>182</v>
      </c>
      <c r="C260" s="182" t="s">
        <v>7</v>
      </c>
      <c r="D260" s="201">
        <f>+SUM(O260:X260)</f>
        <v>0</v>
      </c>
      <c r="F260" s="201"/>
      <c r="O260" s="651">
        <f>+IF(O258&lt;0,O258,0)</f>
        <v>0</v>
      </c>
      <c r="P260" s="201">
        <f t="shared" ref="P260:X260" si="217">+IF(P258&lt;0,P258,0)</f>
        <v>0</v>
      </c>
      <c r="Q260" s="201">
        <f t="shared" si="217"/>
        <v>0</v>
      </c>
      <c r="R260" s="201">
        <f t="shared" si="217"/>
        <v>0</v>
      </c>
      <c r="S260" s="201">
        <f t="shared" si="217"/>
        <v>0</v>
      </c>
      <c r="T260" s="201">
        <f t="shared" si="217"/>
        <v>0</v>
      </c>
      <c r="U260" s="201">
        <f t="shared" si="217"/>
        <v>0</v>
      </c>
      <c r="V260" s="201">
        <f t="shared" si="217"/>
        <v>0</v>
      </c>
      <c r="W260" s="201">
        <f t="shared" si="217"/>
        <v>0</v>
      </c>
      <c r="X260" s="201">
        <f t="shared" si="217"/>
        <v>0</v>
      </c>
    </row>
    <row r="261" spans="1:24" outlineLevel="1">
      <c r="B261" s="507" t="s">
        <v>211</v>
      </c>
      <c r="C261" s="182" t="s">
        <v>7</v>
      </c>
      <c r="D261" s="238">
        <f>+SUM(O261:X261)</f>
        <v>0</v>
      </c>
      <c r="F261" s="238"/>
      <c r="O261" s="730">
        <f t="shared" ref="O261:X261" si="218">ROUND(O258-O195,6)</f>
        <v>0</v>
      </c>
      <c r="P261" s="238">
        <f t="shared" si="218"/>
        <v>0</v>
      </c>
      <c r="Q261" s="238">
        <f t="shared" si="218"/>
        <v>0</v>
      </c>
      <c r="R261" s="238">
        <f t="shared" si="218"/>
        <v>0</v>
      </c>
      <c r="S261" s="238">
        <f t="shared" si="218"/>
        <v>0</v>
      </c>
      <c r="T261" s="238">
        <f t="shared" si="218"/>
        <v>0</v>
      </c>
      <c r="U261" s="238">
        <f t="shared" si="218"/>
        <v>0</v>
      </c>
      <c r="V261" s="238">
        <f t="shared" si="218"/>
        <v>0</v>
      </c>
      <c r="W261" s="238">
        <f t="shared" si="218"/>
        <v>0</v>
      </c>
      <c r="X261" s="238">
        <f t="shared" si="218"/>
        <v>0</v>
      </c>
    </row>
    <row r="263" spans="1:24" ht="17" thickBot="1">
      <c r="A263" s="177" t="s">
        <v>10</v>
      </c>
      <c r="B263" s="610" t="s">
        <v>152</v>
      </c>
      <c r="C263" s="611"/>
      <c r="D263" s="610"/>
      <c r="E263" s="610"/>
      <c r="F263" s="610"/>
      <c r="G263" s="610"/>
      <c r="H263" s="612"/>
      <c r="I263" s="610"/>
      <c r="J263" s="610"/>
      <c r="K263" s="610"/>
      <c r="L263" s="610"/>
      <c r="M263" s="610"/>
      <c r="N263" s="613"/>
      <c r="O263" s="613"/>
      <c r="P263" s="610"/>
      <c r="Q263" s="610"/>
      <c r="R263" s="610"/>
      <c r="S263" s="610"/>
      <c r="T263" s="610"/>
      <c r="U263" s="610"/>
      <c r="V263" s="610"/>
      <c r="W263" s="610"/>
      <c r="X263" s="610"/>
    </row>
    <row r="264" spans="1:24" outlineLevel="1">
      <c r="B264" s="184" t="s">
        <v>153</v>
      </c>
      <c r="C264" s="182" t="s">
        <v>154</v>
      </c>
      <c r="F264" s="361"/>
      <c r="O264" s="740">
        <f>+IF(O14&gt;Control!$D$67,1,0)</f>
        <v>0</v>
      </c>
      <c r="P264" s="361">
        <f>+IF(P14&gt;Control!$D$67,1,0)</f>
        <v>0</v>
      </c>
      <c r="Q264" s="361">
        <f>+IF(Q14&gt;Control!$D$67,1,0)</f>
        <v>0</v>
      </c>
      <c r="R264" s="361">
        <f>+IF(R14&gt;Control!$D$67,1,0)</f>
        <v>0</v>
      </c>
      <c r="S264" s="361">
        <f>+IF(S14&gt;Control!$D$67,1,0)</f>
        <v>0</v>
      </c>
      <c r="T264" s="361">
        <f>+IF(T14&gt;Control!$D$67,1,0)</f>
        <v>0</v>
      </c>
      <c r="U264" s="361">
        <f>+IF(U14&gt;Control!$D$67,1,0)</f>
        <v>0</v>
      </c>
      <c r="V264" s="361">
        <f>+IF(V14&gt;Control!$D$67,1,0)</f>
        <v>0</v>
      </c>
      <c r="W264" s="361">
        <f>+IF(W14&gt;Control!$D$67,1,0)</f>
        <v>0</v>
      </c>
      <c r="X264" s="361">
        <f>+IF(X14&gt;Control!$D$67,1,0)</f>
        <v>0</v>
      </c>
    </row>
    <row r="265" spans="1:24" outlineLevel="1">
      <c r="B265" s="184" t="s">
        <v>189</v>
      </c>
      <c r="C265" s="182" t="s">
        <v>154</v>
      </c>
      <c r="F265" s="361"/>
      <c r="O265" s="605">
        <f>+IF(O14&gt;Control!$D$68,1,0)</f>
        <v>0</v>
      </c>
      <c r="P265" s="361">
        <f>+IF(P14&gt;Control!$D$68,1,0)</f>
        <v>0</v>
      </c>
      <c r="Q265" s="361">
        <f>+IF(Q14&gt;Control!$D$68,1,0)</f>
        <v>0</v>
      </c>
      <c r="R265" s="361">
        <f>+IF(R14&gt;Control!$D$68,1,0)</f>
        <v>0</v>
      </c>
      <c r="S265" s="361">
        <f>+IF(S14&gt;Control!$D$68,1,0)</f>
        <v>0</v>
      </c>
      <c r="T265" s="361">
        <f>+IF(T14&gt;Control!$D$68,1,0)</f>
        <v>0</v>
      </c>
      <c r="U265" s="361">
        <f>+IF(U14&gt;Control!$D$68,1,0)</f>
        <v>0</v>
      </c>
      <c r="V265" s="361">
        <f>+IF(V14&gt;Control!$D$68,1,0)</f>
        <v>0</v>
      </c>
      <c r="W265" s="361">
        <f>+IF(W14&gt;Control!$D$68,1,0)</f>
        <v>0</v>
      </c>
      <c r="X265" s="361">
        <f>+IF(X14&gt;Control!$D$68,1,0)</f>
        <v>0</v>
      </c>
    </row>
    <row r="266" spans="1:24" outlineLevel="1"/>
    <row r="267" spans="1:24" outlineLevel="1">
      <c r="B267" s="184" t="s">
        <v>190</v>
      </c>
      <c r="C267" s="182" t="s">
        <v>67</v>
      </c>
      <c r="F267" s="201"/>
      <c r="O267" s="651">
        <f>+SUM(O243:O250)</f>
        <v>-1.2606716635830655</v>
      </c>
      <c r="P267" s="201">
        <f>+SUM(P243:P250)</f>
        <v>-11.582055462561407</v>
      </c>
      <c r="Q267" s="201">
        <f t="shared" ref="Q267:X267" si="219">+SUM(Q243:Q250)</f>
        <v>-9.6071204729384938</v>
      </c>
      <c r="R267" s="201">
        <f t="shared" si="219"/>
        <v>-7.8981434011876601</v>
      </c>
      <c r="S267" s="201">
        <f t="shared" si="219"/>
        <v>-6.2424250178814109</v>
      </c>
      <c r="T267" s="201">
        <f t="shared" si="219"/>
        <v>-4.5102442478092346</v>
      </c>
      <c r="U267" s="201">
        <f t="shared" si="219"/>
        <v>-2.6680506527452876</v>
      </c>
      <c r="V267" s="201">
        <f t="shared" si="219"/>
        <v>-0.73972938776285302</v>
      </c>
      <c r="W267" s="201">
        <f t="shared" si="219"/>
        <v>1.2006264610949722</v>
      </c>
      <c r="X267" s="201">
        <f t="shared" si="219"/>
        <v>3.1531283313445919</v>
      </c>
    </row>
    <row r="268" spans="1:24" outlineLevel="1">
      <c r="B268" s="216" t="s">
        <v>60</v>
      </c>
      <c r="C268" s="208" t="s">
        <v>67</v>
      </c>
      <c r="D268" s="292"/>
      <c r="E268" s="292"/>
      <c r="F268" s="294"/>
      <c r="G268" s="292"/>
      <c r="H268" s="631"/>
      <c r="I268" s="292"/>
      <c r="J268" s="292"/>
      <c r="K268" s="292"/>
      <c r="L268" s="292"/>
      <c r="M268" s="292"/>
      <c r="N268" s="649"/>
      <c r="O268" s="632">
        <f>+O257</f>
        <v>10.999999999999993</v>
      </c>
      <c r="P268" s="294">
        <f t="shared" ref="P268:X268" si="220">+P257</f>
        <v>11.582779603400001</v>
      </c>
      <c r="Q268" s="294">
        <f t="shared" si="220"/>
        <v>1.8441754078000001</v>
      </c>
      <c r="R268" s="294">
        <f t="shared" si="220"/>
        <v>0</v>
      </c>
      <c r="S268" s="294">
        <f t="shared" si="220"/>
        <v>0</v>
      </c>
      <c r="T268" s="294">
        <f t="shared" si="220"/>
        <v>0</v>
      </c>
      <c r="U268" s="294">
        <f t="shared" si="220"/>
        <v>0</v>
      </c>
      <c r="V268" s="294">
        <f t="shared" si="220"/>
        <v>0.1259439067</v>
      </c>
      <c r="W268" s="294">
        <f t="shared" si="220"/>
        <v>2.1802090783999999</v>
      </c>
      <c r="X268" s="294">
        <f t="shared" si="220"/>
        <v>6.1748300989000002</v>
      </c>
    </row>
    <row r="269" spans="1:24" outlineLevel="1">
      <c r="B269" s="269" t="s">
        <v>192</v>
      </c>
      <c r="C269" s="211" t="s">
        <v>67</v>
      </c>
      <c r="F269" s="219"/>
      <c r="O269" s="626">
        <f>+SUM(O267:O268)</f>
        <v>9.7393283364169267</v>
      </c>
      <c r="P269" s="219">
        <f t="shared" ref="P269:X269" si="221">+SUM(P267:P268)</f>
        <v>7.241408385940673E-4</v>
      </c>
      <c r="Q269" s="219">
        <f t="shared" si="221"/>
        <v>-7.7629450651384939</v>
      </c>
      <c r="R269" s="219">
        <f t="shared" si="221"/>
        <v>-7.8981434011876601</v>
      </c>
      <c r="S269" s="219">
        <f t="shared" si="221"/>
        <v>-6.2424250178814109</v>
      </c>
      <c r="T269" s="219">
        <f t="shared" si="221"/>
        <v>-4.5102442478092346</v>
      </c>
      <c r="U269" s="219">
        <f t="shared" si="221"/>
        <v>-2.6680506527452876</v>
      </c>
      <c r="V269" s="219">
        <f t="shared" si="221"/>
        <v>-0.61378548106285302</v>
      </c>
      <c r="W269" s="219">
        <f t="shared" si="221"/>
        <v>3.3808355394949721</v>
      </c>
      <c r="X269" s="219">
        <f t="shared" si="221"/>
        <v>9.3279584302445926</v>
      </c>
    </row>
    <row r="270" spans="1:24" outlineLevel="1">
      <c r="B270" s="184"/>
    </row>
    <row r="271" spans="1:24" outlineLevel="1">
      <c r="B271" s="263" t="s">
        <v>196</v>
      </c>
      <c r="C271" s="182" t="s">
        <v>67</v>
      </c>
      <c r="F271" s="201"/>
      <c r="O271" s="651">
        <f>+N274</f>
        <v>0</v>
      </c>
      <c r="P271" s="201">
        <f t="shared" ref="P271:X271" si="222">+O274</f>
        <v>1.8434512669714254</v>
      </c>
      <c r="Q271" s="201">
        <f t="shared" si="222"/>
        <v>3.6869025339428507</v>
      </c>
      <c r="R271" s="201">
        <f t="shared" si="222"/>
        <v>5.5303538009142761</v>
      </c>
      <c r="S271" s="201">
        <f t="shared" si="222"/>
        <v>7.7005611255445237</v>
      </c>
      <c r="T271" s="201">
        <f t="shared" si="222"/>
        <v>10.186950521600741</v>
      </c>
      <c r="U271" s="201">
        <f t="shared" si="222"/>
        <v>12.880673083981709</v>
      </c>
      <c r="V271" s="201">
        <f t="shared" si="222"/>
        <v>15.674667643398317</v>
      </c>
      <c r="W271" s="201">
        <f t="shared" si="222"/>
        <v>18.468662202814926</v>
      </c>
      <c r="X271" s="201">
        <f t="shared" si="222"/>
        <v>21.262656762231533</v>
      </c>
    </row>
    <row r="272" spans="1:24" outlineLevel="1">
      <c r="B272" s="184" t="s">
        <v>186</v>
      </c>
      <c r="C272" s="182" t="s">
        <v>67</v>
      </c>
      <c r="F272" s="201"/>
      <c r="O272" s="651">
        <f t="shared" ref="O272:X272" si="223">O119</f>
        <v>1.8434512669714254</v>
      </c>
      <c r="P272" s="201">
        <f t="shared" si="223"/>
        <v>1.8434512669714254</v>
      </c>
      <c r="Q272" s="201">
        <f t="shared" si="223"/>
        <v>1.8434512669714254</v>
      </c>
      <c r="R272" s="201">
        <f t="shared" si="223"/>
        <v>2.1702073246302476</v>
      </c>
      <c r="S272" s="201">
        <f t="shared" si="223"/>
        <v>2.4863893960562167</v>
      </c>
      <c r="T272" s="201">
        <f t="shared" si="223"/>
        <v>2.6937225623809677</v>
      </c>
      <c r="U272" s="201">
        <f t="shared" si="223"/>
        <v>2.7939945594166082</v>
      </c>
      <c r="V272" s="201">
        <f t="shared" si="223"/>
        <v>2.7939945594166082</v>
      </c>
      <c r="W272" s="201">
        <f t="shared" si="223"/>
        <v>2.7939945594166082</v>
      </c>
      <c r="X272" s="201">
        <f t="shared" si="223"/>
        <v>2.7939945594166082</v>
      </c>
    </row>
    <row r="273" spans="2:25" outlineLevel="1">
      <c r="B273" s="216" t="s">
        <v>187</v>
      </c>
      <c r="C273" s="208" t="s">
        <v>67</v>
      </c>
      <c r="D273" s="292"/>
      <c r="E273" s="292"/>
      <c r="F273" s="294"/>
      <c r="G273" s="292"/>
      <c r="H273" s="631"/>
      <c r="I273" s="292"/>
      <c r="J273" s="292"/>
      <c r="K273" s="292"/>
      <c r="L273" s="292"/>
      <c r="M273" s="292"/>
      <c r="N273" s="649"/>
      <c r="O273" s="632">
        <f>-MAX(MIN(SUM(O271:O272),O269),0)*O265</f>
        <v>0</v>
      </c>
      <c r="P273" s="294">
        <f t="shared" ref="P273:X273" si="224">-MAX(MIN(SUM(P271:P272),P269),0)*P265</f>
        <v>0</v>
      </c>
      <c r="Q273" s="294">
        <f t="shared" si="224"/>
        <v>0</v>
      </c>
      <c r="R273" s="294">
        <f t="shared" si="224"/>
        <v>0</v>
      </c>
      <c r="S273" s="294">
        <f t="shared" si="224"/>
        <v>0</v>
      </c>
      <c r="T273" s="294">
        <f t="shared" si="224"/>
        <v>0</v>
      </c>
      <c r="U273" s="294">
        <f t="shared" si="224"/>
        <v>0</v>
      </c>
      <c r="V273" s="294">
        <f t="shared" si="224"/>
        <v>0</v>
      </c>
      <c r="W273" s="294">
        <f t="shared" si="224"/>
        <v>0</v>
      </c>
      <c r="X273" s="294">
        <f t="shared" si="224"/>
        <v>0</v>
      </c>
    </row>
    <row r="274" spans="2:25" s="213" customFormat="1" outlineLevel="1">
      <c r="B274" s="269" t="s">
        <v>197</v>
      </c>
      <c r="C274" s="211" t="s">
        <v>67</v>
      </c>
      <c r="F274" s="219"/>
      <c r="H274" s="624"/>
      <c r="N274" s="739"/>
      <c r="O274" s="626">
        <f>SUM(O271:O273)</f>
        <v>1.8434512669714254</v>
      </c>
      <c r="P274" s="219">
        <f>SUM(P271:P273)</f>
        <v>3.6869025339428507</v>
      </c>
      <c r="Q274" s="219">
        <f>SUM(Q271:Q273)</f>
        <v>5.5303538009142761</v>
      </c>
      <c r="R274" s="219">
        <f t="shared" ref="R274:X274" si="225">SUM(R271:R273)</f>
        <v>7.7005611255445237</v>
      </c>
      <c r="S274" s="219">
        <f t="shared" si="225"/>
        <v>10.186950521600741</v>
      </c>
      <c r="T274" s="219">
        <f t="shared" si="225"/>
        <v>12.880673083981709</v>
      </c>
      <c r="U274" s="219">
        <f t="shared" si="225"/>
        <v>15.674667643398317</v>
      </c>
      <c r="V274" s="219">
        <f t="shared" si="225"/>
        <v>18.468662202814926</v>
      </c>
      <c r="W274" s="219">
        <f t="shared" si="225"/>
        <v>21.262656762231533</v>
      </c>
      <c r="X274" s="219">
        <f t="shared" si="225"/>
        <v>24.05665132164814</v>
      </c>
    </row>
    <row r="275" spans="2:25" outlineLevel="1">
      <c r="B275" s="269"/>
    </row>
    <row r="276" spans="2:25" outlineLevel="1">
      <c r="B276" s="269" t="str">
        <f>+B269</f>
        <v>Cash before dividends and subordinated debt</v>
      </c>
      <c r="C276" s="211" t="s">
        <v>67</v>
      </c>
      <c r="F276" s="219"/>
      <c r="O276" s="626">
        <f t="shared" ref="O276:X276" si="226">+O269+O274-N274</f>
        <v>11.582779603388353</v>
      </c>
      <c r="P276" s="418">
        <f t="shared" si="226"/>
        <v>1.8441754078100194</v>
      </c>
      <c r="Q276" s="219">
        <f t="shared" si="226"/>
        <v>-5.9194937981670686</v>
      </c>
      <c r="R276" s="219">
        <f t="shared" si="226"/>
        <v>-5.7279360765574125</v>
      </c>
      <c r="S276" s="219">
        <f t="shared" si="226"/>
        <v>-3.7560356218251938</v>
      </c>
      <c r="T276" s="219">
        <f t="shared" si="226"/>
        <v>-1.8165216854282669</v>
      </c>
      <c r="U276" s="219">
        <f t="shared" si="226"/>
        <v>0.1259439066713206</v>
      </c>
      <c r="V276" s="219">
        <f t="shared" si="226"/>
        <v>2.1802090783537569</v>
      </c>
      <c r="W276" s="219">
        <f t="shared" si="226"/>
        <v>6.1748300989115776</v>
      </c>
      <c r="X276" s="219">
        <f t="shared" si="226"/>
        <v>12.121952989661199</v>
      </c>
    </row>
    <row r="277" spans="2:25" outlineLevel="1">
      <c r="B277" s="269"/>
    </row>
    <row r="278" spans="2:25" outlineLevel="1">
      <c r="B278" s="216" t="s">
        <v>204</v>
      </c>
      <c r="C278" s="208" t="s">
        <v>67</v>
      </c>
      <c r="D278" s="292"/>
      <c r="E278" s="292"/>
      <c r="F278" s="294"/>
      <c r="G278" s="292"/>
      <c r="H278" s="631"/>
      <c r="I278" s="292"/>
      <c r="J278" s="292"/>
      <c r="K278" s="292"/>
      <c r="L278" s="292"/>
      <c r="M278" s="292"/>
      <c r="N278" s="649"/>
      <c r="O278" s="632">
        <f t="shared" ref="O278:X278" si="227">-MAX(MIN(O113,O276),0)*O265</f>
        <v>0</v>
      </c>
      <c r="P278" s="294">
        <f t="shared" si="227"/>
        <v>0</v>
      </c>
      <c r="Q278" s="294">
        <f t="shared" si="227"/>
        <v>0</v>
      </c>
      <c r="R278" s="294">
        <f t="shared" si="227"/>
        <v>0</v>
      </c>
      <c r="S278" s="294">
        <f t="shared" si="227"/>
        <v>0</v>
      </c>
      <c r="T278" s="294">
        <f t="shared" si="227"/>
        <v>0</v>
      </c>
      <c r="U278" s="294">
        <f t="shared" si="227"/>
        <v>0</v>
      </c>
      <c r="V278" s="294">
        <f t="shared" si="227"/>
        <v>0</v>
      </c>
      <c r="W278" s="294">
        <f t="shared" si="227"/>
        <v>0</v>
      </c>
      <c r="X278" s="294">
        <f t="shared" si="227"/>
        <v>0</v>
      </c>
    </row>
    <row r="279" spans="2:25" outlineLevel="1">
      <c r="B279" s="269" t="s">
        <v>205</v>
      </c>
      <c r="C279" s="211" t="s">
        <v>67</v>
      </c>
      <c r="F279" s="219"/>
      <c r="O279" s="666">
        <f>SUM(O276:O278)</f>
        <v>11.582779603388353</v>
      </c>
      <c r="P279" s="219">
        <f t="shared" ref="P279:X279" si="228">SUM(P276:P278)</f>
        <v>1.8441754078100194</v>
      </c>
      <c r="Q279" s="219">
        <f t="shared" si="228"/>
        <v>-5.9194937981670686</v>
      </c>
      <c r="R279" s="219">
        <f t="shared" si="228"/>
        <v>-5.7279360765574125</v>
      </c>
      <c r="S279" s="219">
        <f t="shared" si="228"/>
        <v>-3.7560356218251938</v>
      </c>
      <c r="T279" s="219">
        <f t="shared" si="228"/>
        <v>-1.8165216854282669</v>
      </c>
      <c r="U279" s="219">
        <f t="shared" si="228"/>
        <v>0.1259439066713206</v>
      </c>
      <c r="V279" s="219">
        <f t="shared" si="228"/>
        <v>2.1802090783537569</v>
      </c>
      <c r="W279" s="219">
        <f t="shared" si="228"/>
        <v>6.1748300989115776</v>
      </c>
      <c r="X279" s="219">
        <f t="shared" si="228"/>
        <v>12.121952989661199</v>
      </c>
    </row>
    <row r="280" spans="2:25" outlineLevel="1">
      <c r="B280" s="269"/>
      <c r="C280" s="211"/>
      <c r="F280" s="219"/>
      <c r="O280" s="626"/>
      <c r="P280" s="219"/>
      <c r="Q280" s="219"/>
      <c r="R280" s="219"/>
      <c r="S280" s="219"/>
      <c r="T280" s="219"/>
      <c r="U280" s="219"/>
      <c r="V280" s="219"/>
      <c r="W280" s="219"/>
      <c r="X280" s="219"/>
    </row>
    <row r="281" spans="2:25" outlineLevel="1">
      <c r="B281" s="269" t="str">
        <f>+B113</f>
        <v>Subordinated debt BOP</v>
      </c>
      <c r="C281" s="182" t="s">
        <v>67</v>
      </c>
      <c r="F281" s="660"/>
      <c r="O281" s="651">
        <f t="shared" ref="O281:X281" si="229">+O113</f>
        <v>15.362093891428545</v>
      </c>
      <c r="P281" s="660">
        <f t="shared" si="229"/>
        <v>15.362093891428545</v>
      </c>
      <c r="Q281" s="660">
        <f t="shared" si="229"/>
        <v>15.362093891428545</v>
      </c>
      <c r="R281" s="660">
        <f t="shared" si="229"/>
        <v>18.085061038585398</v>
      </c>
      <c r="S281" s="660">
        <f t="shared" si="229"/>
        <v>20.719911633801807</v>
      </c>
      <c r="T281" s="660">
        <f t="shared" si="229"/>
        <v>22.447688019841397</v>
      </c>
      <c r="U281" s="660">
        <f t="shared" si="229"/>
        <v>23.283287995138402</v>
      </c>
      <c r="V281" s="660">
        <f t="shared" si="229"/>
        <v>23.283287995138402</v>
      </c>
      <c r="W281" s="660">
        <f t="shared" si="229"/>
        <v>23.283287995138402</v>
      </c>
      <c r="X281" s="660">
        <f t="shared" si="229"/>
        <v>23.283287995138402</v>
      </c>
      <c r="Y281" s="269"/>
    </row>
    <row r="282" spans="2:25" outlineLevel="1">
      <c r="B282" s="184" t="str">
        <f>+B114</f>
        <v>Subordinated debt disbursements</v>
      </c>
      <c r="C282" s="182" t="s">
        <v>67</v>
      </c>
      <c r="F282" s="354"/>
      <c r="O282" s="651">
        <f t="shared" ref="O282:X282" si="230">+O114</f>
        <v>0</v>
      </c>
      <c r="P282" s="354">
        <f t="shared" si="230"/>
        <v>0</v>
      </c>
      <c r="Q282" s="354">
        <f t="shared" si="230"/>
        <v>2.7229671471568513</v>
      </c>
      <c r="R282" s="354">
        <f t="shared" si="230"/>
        <v>2.6348505952164096</v>
      </c>
      <c r="S282" s="354">
        <f t="shared" si="230"/>
        <v>1.7277763860395889</v>
      </c>
      <c r="T282" s="354">
        <f t="shared" si="230"/>
        <v>0.8355999752970027</v>
      </c>
      <c r="U282" s="354">
        <f t="shared" si="230"/>
        <v>0</v>
      </c>
      <c r="V282" s="354">
        <f t="shared" si="230"/>
        <v>0</v>
      </c>
      <c r="W282" s="354">
        <f t="shared" si="230"/>
        <v>0</v>
      </c>
      <c r="X282" s="354">
        <f t="shared" si="230"/>
        <v>0</v>
      </c>
      <c r="Y282" s="184"/>
    </row>
    <row r="283" spans="2:25" outlineLevel="1">
      <c r="B283" s="216" t="str">
        <f>+B115</f>
        <v>Subordinated debt amortization</v>
      </c>
      <c r="C283" s="208" t="s">
        <v>67</v>
      </c>
      <c r="D283" s="292"/>
      <c r="E283" s="292"/>
      <c r="F283" s="741"/>
      <c r="G283" s="292"/>
      <c r="H283" s="631"/>
      <c r="I283" s="292"/>
      <c r="J283" s="292"/>
      <c r="K283" s="292"/>
      <c r="L283" s="292"/>
      <c r="M283" s="292"/>
      <c r="N283" s="649"/>
      <c r="O283" s="632">
        <f t="shared" ref="O283:X283" si="231">+O115</f>
        <v>0</v>
      </c>
      <c r="P283" s="741">
        <f t="shared" si="231"/>
        <v>0</v>
      </c>
      <c r="Q283" s="741">
        <f t="shared" si="231"/>
        <v>0</v>
      </c>
      <c r="R283" s="741">
        <f t="shared" si="231"/>
        <v>0</v>
      </c>
      <c r="S283" s="741">
        <f t="shared" si="231"/>
        <v>0</v>
      </c>
      <c r="T283" s="741">
        <f t="shared" si="231"/>
        <v>0</v>
      </c>
      <c r="U283" s="741">
        <f t="shared" si="231"/>
        <v>0</v>
      </c>
      <c r="V283" s="741">
        <f t="shared" si="231"/>
        <v>0</v>
      </c>
      <c r="W283" s="741">
        <f t="shared" si="231"/>
        <v>0</v>
      </c>
      <c r="X283" s="741">
        <f t="shared" si="231"/>
        <v>0</v>
      </c>
      <c r="Y283" s="269"/>
    </row>
    <row r="284" spans="2:25" outlineLevel="1">
      <c r="B284" s="269" t="str">
        <f>+B116</f>
        <v>Subordinated debt EOP</v>
      </c>
      <c r="C284" s="211" t="s">
        <v>67</v>
      </c>
      <c r="F284" s="660"/>
      <c r="O284" s="626">
        <f t="shared" ref="O284:X284" si="232">+O116</f>
        <v>15.362093891428545</v>
      </c>
      <c r="P284" s="660">
        <f t="shared" si="232"/>
        <v>15.362093891428545</v>
      </c>
      <c r="Q284" s="660">
        <f t="shared" si="232"/>
        <v>18.085061038585398</v>
      </c>
      <c r="R284" s="660">
        <f t="shared" si="232"/>
        <v>20.719911633801807</v>
      </c>
      <c r="S284" s="660">
        <f t="shared" si="232"/>
        <v>22.447688019841397</v>
      </c>
      <c r="T284" s="660">
        <f t="shared" si="232"/>
        <v>23.283287995138402</v>
      </c>
      <c r="U284" s="660">
        <f t="shared" si="232"/>
        <v>23.283287995138402</v>
      </c>
      <c r="V284" s="660">
        <f t="shared" si="232"/>
        <v>23.283287995138402</v>
      </c>
      <c r="W284" s="660">
        <f t="shared" si="232"/>
        <v>23.283287995138402</v>
      </c>
      <c r="X284" s="660">
        <f t="shared" si="232"/>
        <v>23.283287995138402</v>
      </c>
      <c r="Y284" s="269"/>
    </row>
    <row r="285" spans="2:25" outlineLevel="1">
      <c r="B285" s="269"/>
    </row>
    <row r="286" spans="2:25" outlineLevel="1">
      <c r="B286" s="216" t="s">
        <v>155</v>
      </c>
      <c r="C286" s="208" t="s">
        <v>67</v>
      </c>
      <c r="D286" s="292"/>
      <c r="E286" s="292"/>
      <c r="F286" s="294"/>
      <c r="G286" s="292"/>
      <c r="H286" s="631"/>
      <c r="I286" s="292"/>
      <c r="J286" s="292"/>
      <c r="K286" s="292"/>
      <c r="L286" s="292"/>
      <c r="M286" s="292"/>
      <c r="N286" s="649"/>
      <c r="O286" s="632">
        <f t="shared" ref="O286:X286" si="233">-MAX(MIN(N210,O279),0)*O264</f>
        <v>0</v>
      </c>
      <c r="P286" s="294">
        <f t="shared" si="233"/>
        <v>0</v>
      </c>
      <c r="Q286" s="294">
        <f t="shared" si="233"/>
        <v>0</v>
      </c>
      <c r="R286" s="294">
        <f t="shared" si="233"/>
        <v>0</v>
      </c>
      <c r="S286" s="294">
        <f t="shared" si="233"/>
        <v>0</v>
      </c>
      <c r="T286" s="294">
        <f t="shared" si="233"/>
        <v>0</v>
      </c>
      <c r="U286" s="294">
        <f t="shared" si="233"/>
        <v>0</v>
      </c>
      <c r="V286" s="294">
        <f t="shared" si="233"/>
        <v>0</v>
      </c>
      <c r="W286" s="294">
        <f t="shared" si="233"/>
        <v>0</v>
      </c>
      <c r="X286" s="294">
        <f t="shared" si="233"/>
        <v>0</v>
      </c>
    </row>
    <row r="287" spans="2:25" outlineLevel="1">
      <c r="B287" s="269" t="s">
        <v>156</v>
      </c>
      <c r="C287" s="211" t="s">
        <v>67</v>
      </c>
      <c r="F287" s="219"/>
      <c r="O287" s="626">
        <f>+O286+O279</f>
        <v>11.582779603388353</v>
      </c>
      <c r="P287" s="219">
        <f t="shared" ref="P287:X287" si="234">+P286+P279</f>
        <v>1.8441754078100194</v>
      </c>
      <c r="Q287" s="219">
        <f t="shared" si="234"/>
        <v>-5.9194937981670686</v>
      </c>
      <c r="R287" s="219">
        <f t="shared" si="234"/>
        <v>-5.7279360765574125</v>
      </c>
      <c r="S287" s="219">
        <f t="shared" si="234"/>
        <v>-3.7560356218251938</v>
      </c>
      <c r="T287" s="219">
        <f t="shared" si="234"/>
        <v>-1.8165216854282669</v>
      </c>
      <c r="U287" s="219">
        <f t="shared" si="234"/>
        <v>0.1259439066713206</v>
      </c>
      <c r="V287" s="219">
        <f t="shared" si="234"/>
        <v>2.1802090783537569</v>
      </c>
      <c r="W287" s="219">
        <f t="shared" si="234"/>
        <v>6.1748300989115776</v>
      </c>
      <c r="X287" s="219">
        <f t="shared" si="234"/>
        <v>12.121952989661199</v>
      </c>
    </row>
    <row r="288" spans="2:25" outlineLevel="1">
      <c r="B288" s="269"/>
    </row>
    <row r="289" spans="1:24" outlineLevel="1">
      <c r="B289" s="184" t="s">
        <v>157</v>
      </c>
      <c r="C289" s="182" t="s">
        <v>14</v>
      </c>
      <c r="F289" s="186"/>
      <c r="O289" s="628">
        <f>+Control!D62</f>
        <v>0.54</v>
      </c>
      <c r="P289" s="742">
        <f>+O289</f>
        <v>0.54</v>
      </c>
      <c r="Q289" s="186">
        <f t="shared" ref="Q289:X289" si="235">+P289</f>
        <v>0.54</v>
      </c>
      <c r="R289" s="186">
        <f t="shared" si="235"/>
        <v>0.54</v>
      </c>
      <c r="S289" s="186">
        <f t="shared" si="235"/>
        <v>0.54</v>
      </c>
      <c r="T289" s="186">
        <f t="shared" si="235"/>
        <v>0.54</v>
      </c>
      <c r="U289" s="186">
        <f t="shared" si="235"/>
        <v>0.54</v>
      </c>
      <c r="V289" s="186">
        <f t="shared" si="235"/>
        <v>0.54</v>
      </c>
      <c r="W289" s="186">
        <f t="shared" si="235"/>
        <v>0.54</v>
      </c>
      <c r="X289" s="186">
        <f t="shared" si="235"/>
        <v>0.54</v>
      </c>
    </row>
    <row r="290" spans="1:24" outlineLevel="1">
      <c r="B290" s="743" t="s">
        <v>206</v>
      </c>
      <c r="C290" s="208" t="s">
        <v>14</v>
      </c>
      <c r="D290" s="292"/>
      <c r="E290" s="292"/>
      <c r="F290" s="446"/>
      <c r="G290" s="292"/>
      <c r="H290" s="631"/>
      <c r="I290" s="292"/>
      <c r="J290" s="292"/>
      <c r="K290" s="292"/>
      <c r="L290" s="292"/>
      <c r="M290" s="292"/>
      <c r="N290" s="649"/>
      <c r="O290" s="669">
        <f>1-O289</f>
        <v>0.45999999999999996</v>
      </c>
      <c r="P290" s="446">
        <f t="shared" ref="P290:X290" si="236">1-P289</f>
        <v>0.45999999999999996</v>
      </c>
      <c r="Q290" s="446">
        <f t="shared" si="236"/>
        <v>0.45999999999999996</v>
      </c>
      <c r="R290" s="446">
        <f t="shared" si="236"/>
        <v>0.45999999999999996</v>
      </c>
      <c r="S290" s="446">
        <f t="shared" si="236"/>
        <v>0.45999999999999996</v>
      </c>
      <c r="T290" s="446">
        <f t="shared" si="236"/>
        <v>0.45999999999999996</v>
      </c>
      <c r="U290" s="446">
        <f t="shared" si="236"/>
        <v>0.45999999999999996</v>
      </c>
      <c r="V290" s="446">
        <f t="shared" si="236"/>
        <v>0.45999999999999996</v>
      </c>
      <c r="W290" s="446">
        <f t="shared" si="236"/>
        <v>0.45999999999999996</v>
      </c>
      <c r="X290" s="446">
        <f t="shared" si="236"/>
        <v>0.45999999999999996</v>
      </c>
    </row>
    <row r="291" spans="1:24" outlineLevel="1">
      <c r="B291" s="269" t="s">
        <v>207</v>
      </c>
      <c r="C291" s="211" t="s">
        <v>67</v>
      </c>
      <c r="D291" s="213"/>
      <c r="E291" s="213"/>
      <c r="F291" s="418"/>
      <c r="G291" s="213"/>
      <c r="H291" s="624"/>
      <c r="I291" s="213"/>
      <c r="J291" s="213"/>
      <c r="K291" s="213"/>
      <c r="L291" s="213"/>
      <c r="M291" s="213"/>
      <c r="N291" s="739"/>
      <c r="O291" s="688">
        <f t="shared" ref="O291:X291" si="237">IF(O287&lt;0,-O287,0)</f>
        <v>0</v>
      </c>
      <c r="P291" s="418">
        <f t="shared" si="237"/>
        <v>0</v>
      </c>
      <c r="Q291" s="418">
        <f t="shared" si="237"/>
        <v>5.9194937981670686</v>
      </c>
      <c r="R291" s="418">
        <f t="shared" si="237"/>
        <v>5.7279360765574125</v>
      </c>
      <c r="S291" s="418">
        <f t="shared" si="237"/>
        <v>3.7560356218251938</v>
      </c>
      <c r="T291" s="418">
        <f t="shared" si="237"/>
        <v>1.8165216854282669</v>
      </c>
      <c r="U291" s="418">
        <f t="shared" si="237"/>
        <v>0</v>
      </c>
      <c r="V291" s="418">
        <f t="shared" si="237"/>
        <v>0</v>
      </c>
      <c r="W291" s="418">
        <f t="shared" si="237"/>
        <v>0</v>
      </c>
      <c r="X291" s="418">
        <f t="shared" si="237"/>
        <v>0</v>
      </c>
    </row>
    <row r="292" spans="1:24" outlineLevel="1">
      <c r="B292" s="269"/>
    </row>
    <row r="293" spans="1:24" outlineLevel="1">
      <c r="B293" s="184" t="s">
        <v>158</v>
      </c>
      <c r="C293" s="182" t="s">
        <v>67</v>
      </c>
      <c r="F293" s="201"/>
      <c r="O293" s="651">
        <f t="shared" ref="O293:X293" si="238">-MAX(MIN(O287,O107,SUM(O107,O209:O210)),0)*O264</f>
        <v>0</v>
      </c>
      <c r="P293" s="201">
        <f t="shared" si="238"/>
        <v>0</v>
      </c>
      <c r="Q293" s="201">
        <f t="shared" si="238"/>
        <v>0</v>
      </c>
      <c r="R293" s="201">
        <f t="shared" si="238"/>
        <v>0</v>
      </c>
      <c r="S293" s="201">
        <f t="shared" si="238"/>
        <v>0</v>
      </c>
      <c r="T293" s="201">
        <f t="shared" si="238"/>
        <v>0</v>
      </c>
      <c r="U293" s="201">
        <f t="shared" si="238"/>
        <v>0</v>
      </c>
      <c r="V293" s="201">
        <f t="shared" si="238"/>
        <v>0</v>
      </c>
      <c r="W293" s="201">
        <f t="shared" si="238"/>
        <v>0</v>
      </c>
      <c r="X293" s="201">
        <f t="shared" si="238"/>
        <v>0</v>
      </c>
    </row>
    <row r="294" spans="1:24" outlineLevel="1">
      <c r="B294" s="184" t="s">
        <v>159</v>
      </c>
      <c r="C294" s="182" t="s">
        <v>67</v>
      </c>
      <c r="F294" s="543"/>
      <c r="O294" s="689">
        <f>O291*O289</f>
        <v>0</v>
      </c>
      <c r="P294" s="543">
        <f t="shared" ref="P294:X294" si="239">P291*P289</f>
        <v>0</v>
      </c>
      <c r="Q294" s="543">
        <f t="shared" si="239"/>
        <v>3.1965266510102173</v>
      </c>
      <c r="R294" s="543">
        <f t="shared" si="239"/>
        <v>3.0930854813410029</v>
      </c>
      <c r="S294" s="543">
        <f t="shared" si="239"/>
        <v>2.0282592357856046</v>
      </c>
      <c r="T294" s="543">
        <f t="shared" si="239"/>
        <v>0.98092171013126417</v>
      </c>
      <c r="U294" s="543">
        <f t="shared" si="239"/>
        <v>0</v>
      </c>
      <c r="V294" s="543">
        <f t="shared" si="239"/>
        <v>0</v>
      </c>
      <c r="W294" s="543">
        <f t="shared" si="239"/>
        <v>0</v>
      </c>
      <c r="X294" s="543">
        <f t="shared" si="239"/>
        <v>0</v>
      </c>
    </row>
    <row r="295" spans="1:24" outlineLevel="1">
      <c r="B295" s="216" t="s">
        <v>208</v>
      </c>
      <c r="C295" s="208" t="s">
        <v>67</v>
      </c>
      <c r="D295" s="292"/>
      <c r="E295" s="292"/>
      <c r="F295" s="531"/>
      <c r="G295" s="292"/>
      <c r="H295" s="631"/>
      <c r="I295" s="292"/>
      <c r="J295" s="292"/>
      <c r="K295" s="292"/>
      <c r="L295" s="292"/>
      <c r="M295" s="292"/>
      <c r="N295" s="649"/>
      <c r="O295" s="691">
        <f>O290*O291</f>
        <v>0</v>
      </c>
      <c r="P295" s="531">
        <f t="shared" ref="P295:X295" si="240">P290*P291</f>
        <v>0</v>
      </c>
      <c r="Q295" s="531">
        <f t="shared" si="240"/>
        <v>2.7229671471568513</v>
      </c>
      <c r="R295" s="531">
        <f t="shared" si="240"/>
        <v>2.6348505952164096</v>
      </c>
      <c r="S295" s="531">
        <f t="shared" si="240"/>
        <v>1.7277763860395889</v>
      </c>
      <c r="T295" s="531">
        <f t="shared" si="240"/>
        <v>0.8355999752970027</v>
      </c>
      <c r="U295" s="531">
        <f t="shared" si="240"/>
        <v>0</v>
      </c>
      <c r="V295" s="531">
        <f t="shared" si="240"/>
        <v>0</v>
      </c>
      <c r="W295" s="531">
        <f t="shared" si="240"/>
        <v>0</v>
      </c>
      <c r="X295" s="531">
        <f t="shared" si="240"/>
        <v>0</v>
      </c>
    </row>
    <row r="296" spans="1:24" outlineLevel="1">
      <c r="B296" s="269" t="s">
        <v>160</v>
      </c>
      <c r="C296" s="211" t="s">
        <v>67</v>
      </c>
      <c r="F296" s="219"/>
      <c r="O296" s="626">
        <f>SUM(O293:O295,O287)</f>
        <v>11.582779603388353</v>
      </c>
      <c r="P296" s="219">
        <f t="shared" ref="P296:X296" si="241">SUM(P293:P295,P287)</f>
        <v>1.8441754078100194</v>
      </c>
      <c r="Q296" s="219">
        <f t="shared" si="241"/>
        <v>0</v>
      </c>
      <c r="R296" s="219">
        <f t="shared" si="241"/>
        <v>0</v>
      </c>
      <c r="S296" s="219">
        <f t="shared" si="241"/>
        <v>0</v>
      </c>
      <c r="T296" s="219">
        <f t="shared" si="241"/>
        <v>0</v>
      </c>
      <c r="U296" s="219">
        <f t="shared" si="241"/>
        <v>0.1259439066713206</v>
      </c>
      <c r="V296" s="219">
        <f t="shared" si="241"/>
        <v>2.1802090783537569</v>
      </c>
      <c r="W296" s="219">
        <f t="shared" si="241"/>
        <v>6.1748300989115776</v>
      </c>
      <c r="X296" s="219">
        <f t="shared" si="241"/>
        <v>12.121952989661199</v>
      </c>
    </row>
    <row r="297" spans="1:24" outlineLevel="1">
      <c r="B297" s="269"/>
      <c r="C297" s="211"/>
      <c r="F297" s="219"/>
      <c r="O297" s="626"/>
      <c r="P297" s="219"/>
      <c r="Q297" s="219"/>
      <c r="R297" s="219"/>
      <c r="S297" s="219"/>
      <c r="T297" s="219"/>
      <c r="U297" s="219"/>
      <c r="V297" s="219"/>
      <c r="W297" s="219"/>
      <c r="X297" s="219"/>
    </row>
    <row r="298" spans="1:24" outlineLevel="1">
      <c r="B298" s="263" t="s">
        <v>7</v>
      </c>
      <c r="C298" s="182" t="s">
        <v>67</v>
      </c>
      <c r="D298" s="238">
        <f>+SUM(O298:X298)</f>
        <v>0</v>
      </c>
      <c r="F298" s="238"/>
      <c r="O298" s="730">
        <f t="shared" ref="O298:X298" si="242">ROUND(+O296-O258,6)</f>
        <v>0</v>
      </c>
      <c r="P298" s="238">
        <f t="shared" si="242"/>
        <v>0</v>
      </c>
      <c r="Q298" s="238">
        <f t="shared" si="242"/>
        <v>0</v>
      </c>
      <c r="R298" s="238">
        <f t="shared" si="242"/>
        <v>0</v>
      </c>
      <c r="S298" s="238">
        <f t="shared" si="242"/>
        <v>0</v>
      </c>
      <c r="T298" s="238">
        <f t="shared" si="242"/>
        <v>0</v>
      </c>
      <c r="U298" s="238">
        <f t="shared" si="242"/>
        <v>0</v>
      </c>
      <c r="V298" s="238">
        <f t="shared" si="242"/>
        <v>0</v>
      </c>
      <c r="W298" s="238">
        <f t="shared" si="242"/>
        <v>0</v>
      </c>
      <c r="X298" s="238">
        <f t="shared" si="242"/>
        <v>0</v>
      </c>
    </row>
    <row r="299" spans="1:24">
      <c r="F299" s="201"/>
      <c r="O299" s="651"/>
      <c r="P299" s="201"/>
      <c r="Q299" s="201"/>
      <c r="R299" s="201"/>
      <c r="S299" s="201"/>
      <c r="T299" s="201"/>
      <c r="U299" s="201"/>
      <c r="V299" s="201"/>
      <c r="W299" s="201"/>
      <c r="X299" s="201"/>
    </row>
    <row r="300" spans="1:24" ht="17" thickBot="1">
      <c r="A300" s="177" t="s">
        <v>10</v>
      </c>
      <c r="B300" s="610" t="s">
        <v>373</v>
      </c>
      <c r="C300" s="611"/>
      <c r="D300" s="610"/>
      <c r="E300" s="610"/>
      <c r="F300" s="610"/>
      <c r="G300" s="610"/>
      <c r="H300" s="612"/>
      <c r="I300" s="610"/>
      <c r="J300" s="610"/>
      <c r="K300" s="610"/>
      <c r="L300" s="610"/>
      <c r="M300" s="610"/>
      <c r="N300" s="613"/>
      <c r="O300" s="744"/>
      <c r="P300" s="745"/>
      <c r="Q300" s="610"/>
      <c r="R300" s="610"/>
      <c r="S300" s="610"/>
      <c r="T300" s="610"/>
      <c r="U300" s="610"/>
      <c r="V300" s="610"/>
      <c r="W300" s="610"/>
      <c r="X300" s="610"/>
    </row>
    <row r="301" spans="1:24" outlineLevel="1">
      <c r="B301" s="184" t="s">
        <v>163</v>
      </c>
      <c r="C301" s="182" t="s">
        <v>111</v>
      </c>
      <c r="D301" s="269"/>
      <c r="E301" s="269"/>
      <c r="F301" s="746"/>
      <c r="G301" s="269"/>
      <c r="H301" s="634"/>
      <c r="I301" s="269"/>
      <c r="J301" s="269"/>
      <c r="K301" s="269"/>
      <c r="L301" s="269"/>
      <c r="M301" s="269"/>
      <c r="N301" s="747"/>
      <c r="O301" s="748">
        <f>+Control!D58</f>
        <v>10</v>
      </c>
      <c r="P301" s="749">
        <f>+O301</f>
        <v>10</v>
      </c>
      <c r="Q301" s="746">
        <f>+P301</f>
        <v>10</v>
      </c>
      <c r="R301" s="746">
        <f t="shared" ref="R301:X301" si="243">+Q301</f>
        <v>10</v>
      </c>
      <c r="S301" s="746">
        <f t="shared" si="243"/>
        <v>10</v>
      </c>
      <c r="T301" s="746">
        <f t="shared" si="243"/>
        <v>10</v>
      </c>
      <c r="U301" s="746">
        <f t="shared" si="243"/>
        <v>10</v>
      </c>
      <c r="V301" s="746">
        <f t="shared" si="243"/>
        <v>10</v>
      </c>
      <c r="W301" s="746">
        <f t="shared" si="243"/>
        <v>10</v>
      </c>
      <c r="X301" s="746">
        <f t="shared" si="243"/>
        <v>10</v>
      </c>
    </row>
    <row r="303" spans="1:24" ht="17" thickBot="1">
      <c r="A303" s="177" t="s">
        <v>10</v>
      </c>
      <c r="B303" s="610" t="s">
        <v>372</v>
      </c>
      <c r="C303" s="611"/>
      <c r="D303" s="610"/>
      <c r="E303" s="610"/>
      <c r="F303" s="610"/>
      <c r="G303" s="610"/>
      <c r="H303" s="612"/>
      <c r="I303" s="610"/>
      <c r="J303" s="610"/>
      <c r="K303" s="610"/>
      <c r="L303" s="610"/>
      <c r="M303" s="610"/>
      <c r="N303" s="613"/>
      <c r="O303" s="744"/>
      <c r="P303" s="745"/>
      <c r="Q303" s="610"/>
      <c r="R303" s="610"/>
      <c r="S303" s="610"/>
      <c r="T303" s="610"/>
      <c r="U303" s="610"/>
      <c r="V303" s="610"/>
      <c r="W303" s="610"/>
      <c r="X303" s="610"/>
    </row>
    <row r="304" spans="1:24" outlineLevel="1">
      <c r="B304" s="184" t="s">
        <v>33</v>
      </c>
      <c r="C304" s="182" t="s">
        <v>67</v>
      </c>
      <c r="D304" s="269"/>
      <c r="E304" s="269"/>
      <c r="F304" s="654"/>
      <c r="G304" s="269"/>
      <c r="H304" s="634"/>
      <c r="I304" s="269"/>
      <c r="J304" s="269"/>
      <c r="K304" s="269"/>
      <c r="L304" s="269"/>
      <c r="M304" s="269"/>
      <c r="N304" s="655">
        <f t="shared" ref="N304:X304" si="244">+N178</f>
        <v>4.6754198799999926</v>
      </c>
      <c r="O304" s="655">
        <f t="shared" si="244"/>
        <v>3.474405829971019</v>
      </c>
      <c r="P304" s="654">
        <f t="shared" si="244"/>
        <v>7.1239007591890768</v>
      </c>
      <c r="Q304" s="654">
        <f t="shared" si="244"/>
        <v>10.072002036550074</v>
      </c>
      <c r="R304" s="654">
        <f t="shared" si="244"/>
        <v>13.024441684564323</v>
      </c>
      <c r="S304" s="654">
        <f t="shared" si="244"/>
        <v>15.981349854351407</v>
      </c>
      <c r="T304" s="654">
        <f t="shared" si="244"/>
        <v>18.942860601564519</v>
      </c>
      <c r="U304" s="654">
        <f t="shared" si="244"/>
        <v>21.909112003526445</v>
      </c>
      <c r="V304" s="654">
        <f t="shared" si="244"/>
        <v>24.880246279879657</v>
      </c>
      <c r="W304" s="654">
        <f t="shared" si="244"/>
        <v>27.856409916855796</v>
      </c>
      <c r="X304" s="654">
        <f t="shared" si="244"/>
        <v>30.837753795273727</v>
      </c>
    </row>
    <row r="305" spans="1:24" outlineLevel="1">
      <c r="B305" s="216" t="str">
        <f>+B301</f>
        <v>Exit Multiple</v>
      </c>
      <c r="C305" s="208" t="str">
        <f t="shared" ref="C305:X305" si="245">+C301</f>
        <v>EV/EBITDA</v>
      </c>
      <c r="D305" s="267"/>
      <c r="E305" s="267"/>
      <c r="F305" s="750"/>
      <c r="G305" s="267"/>
      <c r="H305" s="657"/>
      <c r="I305" s="267"/>
      <c r="J305" s="267"/>
      <c r="K305" s="267"/>
      <c r="L305" s="267"/>
      <c r="M305" s="267"/>
      <c r="N305" s="751">
        <f>+O305</f>
        <v>10</v>
      </c>
      <c r="O305" s="751">
        <f t="shared" si="245"/>
        <v>10</v>
      </c>
      <c r="P305" s="750">
        <f t="shared" si="245"/>
        <v>10</v>
      </c>
      <c r="Q305" s="750">
        <f t="shared" si="245"/>
        <v>10</v>
      </c>
      <c r="R305" s="750">
        <f t="shared" si="245"/>
        <v>10</v>
      </c>
      <c r="S305" s="750">
        <f t="shared" si="245"/>
        <v>10</v>
      </c>
      <c r="T305" s="750">
        <f t="shared" si="245"/>
        <v>10</v>
      </c>
      <c r="U305" s="750">
        <f t="shared" si="245"/>
        <v>10</v>
      </c>
      <c r="V305" s="750">
        <f t="shared" si="245"/>
        <v>10</v>
      </c>
      <c r="W305" s="750">
        <f t="shared" si="245"/>
        <v>10</v>
      </c>
      <c r="X305" s="750">
        <f t="shared" si="245"/>
        <v>10</v>
      </c>
    </row>
    <row r="306" spans="1:24" outlineLevel="1">
      <c r="B306" s="269" t="s">
        <v>108</v>
      </c>
      <c r="C306" s="211" t="s">
        <v>67</v>
      </c>
      <c r="D306" s="269"/>
      <c r="E306" s="269"/>
      <c r="F306" s="660"/>
      <c r="G306" s="269"/>
      <c r="H306" s="634"/>
      <c r="I306" s="269"/>
      <c r="J306" s="269"/>
      <c r="K306" s="269"/>
      <c r="L306" s="269"/>
      <c r="M306" s="269"/>
      <c r="N306" s="661">
        <f>N304*N305</f>
        <v>46.754198799999926</v>
      </c>
      <c r="O306" s="661">
        <f>O304*O305</f>
        <v>34.74405829971019</v>
      </c>
      <c r="P306" s="660">
        <f t="shared" ref="P306:X306" si="246">P304*P305</f>
        <v>71.239007591890768</v>
      </c>
      <c r="Q306" s="660">
        <f t="shared" si="246"/>
        <v>100.72002036550074</v>
      </c>
      <c r="R306" s="660">
        <f t="shared" si="246"/>
        <v>130.24441684564323</v>
      </c>
      <c r="S306" s="660">
        <f t="shared" si="246"/>
        <v>159.81349854351407</v>
      </c>
      <c r="T306" s="660">
        <f t="shared" si="246"/>
        <v>189.42860601564519</v>
      </c>
      <c r="U306" s="660">
        <f t="shared" si="246"/>
        <v>219.09112003526445</v>
      </c>
      <c r="V306" s="660">
        <f t="shared" si="246"/>
        <v>248.80246279879657</v>
      </c>
      <c r="W306" s="660">
        <f t="shared" si="246"/>
        <v>278.56409916855796</v>
      </c>
      <c r="X306" s="660">
        <f t="shared" si="246"/>
        <v>308.37753795273727</v>
      </c>
    </row>
    <row r="307" spans="1:24" outlineLevel="1">
      <c r="B307" s="184" t="s">
        <v>371</v>
      </c>
      <c r="C307" s="182" t="s">
        <v>67</v>
      </c>
      <c r="D307" s="269"/>
      <c r="E307" s="269"/>
      <c r="F307" s="654"/>
      <c r="G307" s="269"/>
      <c r="H307" s="634"/>
      <c r="I307" s="269"/>
      <c r="J307" s="269"/>
      <c r="K307" s="269"/>
      <c r="L307" s="269"/>
      <c r="M307" s="269"/>
      <c r="N307" s="655">
        <f t="shared" ref="N307:X307" si="247">-N204</f>
        <v>-21.358342514285692</v>
      </c>
      <c r="O307" s="655">
        <f t="shared" si="247"/>
        <v>-21.358342514285692</v>
      </c>
      <c r="P307" s="654">
        <f t="shared" si="247"/>
        <v>-21.358342514285692</v>
      </c>
      <c r="Q307" s="654">
        <f t="shared" si="247"/>
        <v>-21.358342514285692</v>
      </c>
      <c r="R307" s="654">
        <f t="shared" si="247"/>
        <v>-21.358342514285692</v>
      </c>
      <c r="S307" s="654">
        <f t="shared" si="247"/>
        <v>-21.358342514285692</v>
      </c>
      <c r="T307" s="654">
        <f t="shared" si="247"/>
        <v>-21.358342514285692</v>
      </c>
      <c r="U307" s="654">
        <f t="shared" si="247"/>
        <v>-21.358342514285692</v>
      </c>
      <c r="V307" s="654">
        <f t="shared" si="247"/>
        <v>-21.358342514285692</v>
      </c>
      <c r="W307" s="654">
        <f t="shared" si="247"/>
        <v>-21.358342514285692</v>
      </c>
      <c r="X307" s="654">
        <f t="shared" si="247"/>
        <v>-21.358342514285692</v>
      </c>
    </row>
    <row r="308" spans="1:24" outlineLevel="1">
      <c r="B308" s="216" t="s">
        <v>109</v>
      </c>
      <c r="C308" s="208" t="s">
        <v>67</v>
      </c>
      <c r="D308" s="267"/>
      <c r="E308" s="267"/>
      <c r="F308" s="656"/>
      <c r="G308" s="267"/>
      <c r="H308" s="657"/>
      <c r="I308" s="267"/>
      <c r="J308" s="267"/>
      <c r="K308" s="267"/>
      <c r="L308" s="267"/>
      <c r="M308" s="267"/>
      <c r="N308" s="659">
        <f t="shared" ref="N308:X308" si="248">+N195</f>
        <v>10.999999999999993</v>
      </c>
      <c r="O308" s="659">
        <f t="shared" si="248"/>
        <v>11.582779603388353</v>
      </c>
      <c r="P308" s="656">
        <f t="shared" si="248"/>
        <v>1.8441754078100194</v>
      </c>
      <c r="Q308" s="656">
        <f t="shared" si="248"/>
        <v>0</v>
      </c>
      <c r="R308" s="656">
        <f t="shared" si="248"/>
        <v>0</v>
      </c>
      <c r="S308" s="656">
        <f t="shared" si="248"/>
        <v>0</v>
      </c>
      <c r="T308" s="656">
        <f t="shared" si="248"/>
        <v>0</v>
      </c>
      <c r="U308" s="656">
        <f t="shared" si="248"/>
        <v>0.1259439066713206</v>
      </c>
      <c r="V308" s="656">
        <f t="shared" si="248"/>
        <v>2.1802090783537569</v>
      </c>
      <c r="W308" s="656">
        <f t="shared" si="248"/>
        <v>6.1748300989115776</v>
      </c>
      <c r="X308" s="656">
        <f t="shared" si="248"/>
        <v>12.121952989661199</v>
      </c>
    </row>
    <row r="309" spans="1:24" outlineLevel="1">
      <c r="B309" s="269" t="s">
        <v>110</v>
      </c>
      <c r="C309" s="211" t="s">
        <v>67</v>
      </c>
      <c r="D309" s="269"/>
      <c r="E309" s="269"/>
      <c r="F309" s="660"/>
      <c r="G309" s="269"/>
      <c r="H309" s="634"/>
      <c r="I309" s="269"/>
      <c r="J309" s="269"/>
      <c r="K309" s="269"/>
      <c r="L309" s="269"/>
      <c r="M309" s="269"/>
      <c r="N309" s="661">
        <f>SUM(N306:N308)</f>
        <v>36.395856285714231</v>
      </c>
      <c r="O309" s="661">
        <f>SUM(O306:O308)</f>
        <v>24.968495388812851</v>
      </c>
      <c r="P309" s="660">
        <f t="shared" ref="P309:X309" si="249">SUM(P306:P308)</f>
        <v>51.724840485415093</v>
      </c>
      <c r="Q309" s="660">
        <f t="shared" si="249"/>
        <v>79.361677851215049</v>
      </c>
      <c r="R309" s="660">
        <f t="shared" si="249"/>
        <v>108.88607433135753</v>
      </c>
      <c r="S309" s="660">
        <f t="shared" si="249"/>
        <v>138.45515602922839</v>
      </c>
      <c r="T309" s="660">
        <f>SUM(T306:T308)</f>
        <v>168.07026350135951</v>
      </c>
      <c r="U309" s="660">
        <f t="shared" si="249"/>
        <v>197.8587214276501</v>
      </c>
      <c r="V309" s="660">
        <f t="shared" si="249"/>
        <v>229.62432936286464</v>
      </c>
      <c r="W309" s="660">
        <f t="shared" si="249"/>
        <v>263.38058675318382</v>
      </c>
      <c r="X309" s="660">
        <f t="shared" si="249"/>
        <v>299.14114842811279</v>
      </c>
    </row>
    <row r="310" spans="1:24" outlineLevel="1">
      <c r="B310" s="216" t="s">
        <v>155</v>
      </c>
      <c r="C310" s="208" t="s">
        <v>67</v>
      </c>
      <c r="D310" s="267"/>
      <c r="E310" s="267"/>
      <c r="F310" s="656"/>
      <c r="G310" s="267"/>
      <c r="H310" s="657"/>
      <c r="I310" s="267"/>
      <c r="J310" s="267"/>
      <c r="K310" s="267"/>
      <c r="L310" s="267"/>
      <c r="M310" s="267"/>
      <c r="N310" s="752">
        <f t="shared" ref="N310" si="250">SUM(N336:N337)</f>
        <v>0</v>
      </c>
      <c r="O310" s="659">
        <f>SUM(O336:O337)</f>
        <v>0</v>
      </c>
      <c r="P310" s="753">
        <f t="shared" ref="P310:X310" si="251">SUM(P336:P337)</f>
        <v>0</v>
      </c>
      <c r="Q310" s="656">
        <f t="shared" si="251"/>
        <v>0</v>
      </c>
      <c r="R310" s="656">
        <f t="shared" si="251"/>
        <v>0</v>
      </c>
      <c r="S310" s="656">
        <f t="shared" si="251"/>
        <v>0</v>
      </c>
      <c r="T310" s="656">
        <f t="shared" si="251"/>
        <v>0</v>
      </c>
      <c r="U310" s="656">
        <f t="shared" si="251"/>
        <v>0</v>
      </c>
      <c r="V310" s="656">
        <f t="shared" si="251"/>
        <v>0</v>
      </c>
      <c r="W310" s="656">
        <f t="shared" si="251"/>
        <v>0</v>
      </c>
      <c r="X310" s="656">
        <f t="shared" si="251"/>
        <v>0</v>
      </c>
    </row>
    <row r="311" spans="1:24" outlineLevel="1">
      <c r="B311" s="269" t="s">
        <v>376</v>
      </c>
      <c r="C311" s="211" t="s">
        <v>67</v>
      </c>
      <c r="D311" s="269"/>
      <c r="E311" s="269"/>
      <c r="F311" s="660"/>
      <c r="G311" s="269"/>
      <c r="H311" s="634"/>
      <c r="I311" s="269"/>
      <c r="J311" s="269"/>
      <c r="K311" s="269"/>
      <c r="L311" s="269"/>
      <c r="M311" s="269"/>
      <c r="N311" s="661">
        <f>SUM(N309:N310)</f>
        <v>36.395856285714231</v>
      </c>
      <c r="O311" s="661">
        <f>SUM(O309:O310)</f>
        <v>24.968495388812851</v>
      </c>
      <c r="P311" s="660">
        <f t="shared" ref="P311:X311" si="252">SUM(P309:P310)</f>
        <v>51.724840485415093</v>
      </c>
      <c r="Q311" s="660">
        <f t="shared" si="252"/>
        <v>79.361677851215049</v>
      </c>
      <c r="R311" s="660">
        <f t="shared" si="252"/>
        <v>108.88607433135753</v>
      </c>
      <c r="S311" s="660">
        <f t="shared" si="252"/>
        <v>138.45515602922839</v>
      </c>
      <c r="T311" s="660">
        <f t="shared" si="252"/>
        <v>168.07026350135951</v>
      </c>
      <c r="U311" s="660">
        <f t="shared" si="252"/>
        <v>197.8587214276501</v>
      </c>
      <c r="V311" s="660">
        <f t="shared" si="252"/>
        <v>229.62432936286464</v>
      </c>
      <c r="W311" s="660">
        <f t="shared" si="252"/>
        <v>263.38058675318382</v>
      </c>
      <c r="X311" s="660">
        <f t="shared" si="252"/>
        <v>299.14114842811279</v>
      </c>
    </row>
    <row r="312" spans="1:24">
      <c r="B312" s="269"/>
      <c r="C312" s="211"/>
      <c r="D312" s="269"/>
      <c r="E312" s="269"/>
      <c r="F312" s="660"/>
      <c r="G312" s="269"/>
      <c r="H312" s="634"/>
      <c r="I312" s="269"/>
      <c r="J312" s="269"/>
      <c r="K312" s="269"/>
      <c r="L312" s="269"/>
      <c r="M312" s="269"/>
      <c r="N312" s="747"/>
      <c r="O312" s="661"/>
      <c r="P312" s="660"/>
      <c r="Q312" s="660"/>
      <c r="R312" s="660"/>
      <c r="S312" s="660"/>
      <c r="T312" s="660"/>
      <c r="U312" s="660"/>
      <c r="V312" s="660"/>
      <c r="W312" s="660"/>
      <c r="X312" s="660"/>
    </row>
    <row r="313" spans="1:24" ht="17" thickBot="1">
      <c r="A313" s="177" t="s">
        <v>10</v>
      </c>
      <c r="B313" s="610" t="s">
        <v>374</v>
      </c>
      <c r="C313" s="611"/>
      <c r="D313" s="754"/>
      <c r="E313" s="754" t="s">
        <v>375</v>
      </c>
      <c r="F313" s="610"/>
      <c r="G313" s="610"/>
      <c r="H313" s="612"/>
      <c r="I313" s="610"/>
      <c r="J313" s="610"/>
      <c r="K313" s="610"/>
      <c r="L313" s="610"/>
      <c r="M313" s="610"/>
      <c r="N313" s="613"/>
      <c r="O313" s="744"/>
      <c r="P313" s="745"/>
      <c r="Q313" s="610"/>
      <c r="R313" s="610"/>
      <c r="S313" s="610"/>
      <c r="T313" s="610"/>
      <c r="U313" s="610"/>
      <c r="V313" s="610"/>
      <c r="W313" s="610"/>
      <c r="X313" s="610"/>
    </row>
    <row r="314" spans="1:24" outlineLevel="1">
      <c r="A314" s="269"/>
      <c r="B314" s="184">
        <v>2024</v>
      </c>
      <c r="C314" s="755" t="s">
        <v>563</v>
      </c>
      <c r="D314" s="756">
        <f>+IRR(N314:X314)</f>
        <v>-0.25687832983012771</v>
      </c>
      <c r="E314" s="757">
        <f>SUM(O314:X314)/-N314</f>
        <v>0.74312167016987241</v>
      </c>
      <c r="F314" s="654"/>
      <c r="G314" s="269"/>
      <c r="H314" s="634"/>
      <c r="I314" s="269"/>
      <c r="J314" s="269"/>
      <c r="K314" s="269"/>
      <c r="L314" s="269"/>
      <c r="M314" s="269"/>
      <c r="N314" s="758">
        <f>-Control!$D$44</f>
        <v>-46.754198799999926</v>
      </c>
      <c r="O314" s="655">
        <f t="shared" ref="O314:X319" si="253">+IF(O$14=$B314,O$306,0)</f>
        <v>34.74405829971019</v>
      </c>
      <c r="P314" s="654">
        <f t="shared" si="253"/>
        <v>0</v>
      </c>
      <c r="Q314" s="654">
        <f t="shared" si="253"/>
        <v>0</v>
      </c>
      <c r="R314" s="654">
        <f t="shared" si="253"/>
        <v>0</v>
      </c>
      <c r="S314" s="654">
        <f t="shared" si="253"/>
        <v>0</v>
      </c>
      <c r="T314" s="654">
        <f t="shared" si="253"/>
        <v>0</v>
      </c>
      <c r="U314" s="654">
        <f t="shared" si="253"/>
        <v>0</v>
      </c>
      <c r="V314" s="654">
        <f t="shared" si="253"/>
        <v>0</v>
      </c>
      <c r="W314" s="654">
        <f t="shared" si="253"/>
        <v>0</v>
      </c>
      <c r="X314" s="654">
        <f t="shared" si="253"/>
        <v>0</v>
      </c>
    </row>
    <row r="315" spans="1:24" outlineLevel="1">
      <c r="A315" s="269"/>
      <c r="B315" s="184">
        <f>+B314+1</f>
        <v>2025</v>
      </c>
      <c r="C315" s="755" t="s">
        <v>563</v>
      </c>
      <c r="D315" s="756">
        <f t="shared" ref="D315:D319" si="254">+IRR(N315:X315)</f>
        <v>0.23437927342247167</v>
      </c>
      <c r="E315" s="757">
        <f t="shared" ref="E315:E319" si="255">SUM(O315:X315)/-N315</f>
        <v>1.5236921906549894</v>
      </c>
      <c r="F315" s="654"/>
      <c r="G315" s="269"/>
      <c r="H315" s="634"/>
      <c r="I315" s="269"/>
      <c r="J315" s="269"/>
      <c r="K315" s="269"/>
      <c r="L315" s="269"/>
      <c r="M315" s="269"/>
      <c r="N315" s="758">
        <f>-Control!$D$44</f>
        <v>-46.754198799999926</v>
      </c>
      <c r="O315" s="655">
        <f t="shared" si="253"/>
        <v>0</v>
      </c>
      <c r="P315" s="654">
        <f t="shared" si="253"/>
        <v>71.239007591890768</v>
      </c>
      <c r="Q315" s="654">
        <f t="shared" si="253"/>
        <v>0</v>
      </c>
      <c r="R315" s="654">
        <f t="shared" si="253"/>
        <v>0</v>
      </c>
      <c r="S315" s="654">
        <f t="shared" si="253"/>
        <v>0</v>
      </c>
      <c r="T315" s="654">
        <f t="shared" si="253"/>
        <v>0</v>
      </c>
      <c r="U315" s="654">
        <f t="shared" si="253"/>
        <v>0</v>
      </c>
      <c r="V315" s="654">
        <f t="shared" si="253"/>
        <v>0</v>
      </c>
      <c r="W315" s="654">
        <f t="shared" si="253"/>
        <v>0</v>
      </c>
      <c r="X315" s="654">
        <f t="shared" si="253"/>
        <v>0</v>
      </c>
    </row>
    <row r="316" spans="1:24" outlineLevel="1">
      <c r="A316" s="269"/>
      <c r="B316" s="184">
        <f t="shared" ref="B316:B319" si="256">+B315+1</f>
        <v>2026</v>
      </c>
      <c r="C316" s="755" t="s">
        <v>563</v>
      </c>
      <c r="D316" s="756">
        <f t="shared" si="254"/>
        <v>0.29151184985467715</v>
      </c>
      <c r="E316" s="757">
        <f t="shared" si="255"/>
        <v>2.1542454571053606</v>
      </c>
      <c r="F316" s="654"/>
      <c r="G316" s="269"/>
      <c r="H316" s="634"/>
      <c r="I316" s="269"/>
      <c r="J316" s="269"/>
      <c r="K316" s="269"/>
      <c r="L316" s="269"/>
      <c r="M316" s="269"/>
      <c r="N316" s="758">
        <f>-Control!$D$44</f>
        <v>-46.754198799999926</v>
      </c>
      <c r="O316" s="655">
        <f t="shared" si="253"/>
        <v>0</v>
      </c>
      <c r="P316" s="654">
        <f t="shared" si="253"/>
        <v>0</v>
      </c>
      <c r="Q316" s="654">
        <f t="shared" si="253"/>
        <v>100.72002036550074</v>
      </c>
      <c r="R316" s="654">
        <f t="shared" si="253"/>
        <v>0</v>
      </c>
      <c r="S316" s="654">
        <f t="shared" si="253"/>
        <v>0</v>
      </c>
      <c r="T316" s="654">
        <f t="shared" si="253"/>
        <v>0</v>
      </c>
      <c r="U316" s="654">
        <f t="shared" si="253"/>
        <v>0</v>
      </c>
      <c r="V316" s="654">
        <f t="shared" si="253"/>
        <v>0</v>
      </c>
      <c r="W316" s="654">
        <f t="shared" si="253"/>
        <v>0</v>
      </c>
      <c r="X316" s="654">
        <f t="shared" si="253"/>
        <v>0</v>
      </c>
    </row>
    <row r="317" spans="1:24" outlineLevel="1">
      <c r="A317" s="269"/>
      <c r="B317" s="184">
        <f t="shared" si="256"/>
        <v>2027</v>
      </c>
      <c r="C317" s="755" t="s">
        <v>563</v>
      </c>
      <c r="D317" s="756">
        <f t="shared" si="254"/>
        <v>0.29191703293015436</v>
      </c>
      <c r="E317" s="757">
        <f t="shared" si="255"/>
        <v>2.7857266339390985</v>
      </c>
      <c r="F317" s="654"/>
      <c r="G317" s="269"/>
      <c r="H317" s="634"/>
      <c r="I317" s="269"/>
      <c r="J317" s="269"/>
      <c r="K317" s="269"/>
      <c r="L317" s="269"/>
      <c r="M317" s="269"/>
      <c r="N317" s="758">
        <f>-Control!$D$44</f>
        <v>-46.754198799999926</v>
      </c>
      <c r="O317" s="655">
        <f t="shared" si="253"/>
        <v>0</v>
      </c>
      <c r="P317" s="654">
        <f t="shared" si="253"/>
        <v>0</v>
      </c>
      <c r="Q317" s="654">
        <f t="shared" si="253"/>
        <v>0</v>
      </c>
      <c r="R317" s="654">
        <f t="shared" si="253"/>
        <v>130.24441684564323</v>
      </c>
      <c r="S317" s="654">
        <f t="shared" si="253"/>
        <v>0</v>
      </c>
      <c r="T317" s="654">
        <f t="shared" si="253"/>
        <v>0</v>
      </c>
      <c r="U317" s="654">
        <f t="shared" si="253"/>
        <v>0</v>
      </c>
      <c r="V317" s="654">
        <f t="shared" si="253"/>
        <v>0</v>
      </c>
      <c r="W317" s="654">
        <f t="shared" si="253"/>
        <v>0</v>
      </c>
      <c r="X317" s="654">
        <f t="shared" si="253"/>
        <v>0</v>
      </c>
    </row>
    <row r="318" spans="1:24" outlineLevel="1">
      <c r="A318" s="269"/>
      <c r="B318" s="184">
        <f t="shared" si="256"/>
        <v>2028</v>
      </c>
      <c r="C318" s="755" t="s">
        <v>563</v>
      </c>
      <c r="D318" s="756">
        <f t="shared" si="254"/>
        <v>0.27867027094547425</v>
      </c>
      <c r="E318" s="757">
        <f t="shared" si="255"/>
        <v>3.4181635584677013</v>
      </c>
      <c r="F318" s="654"/>
      <c r="G318" s="269"/>
      <c r="H318" s="634"/>
      <c r="I318" s="269"/>
      <c r="J318" s="269"/>
      <c r="K318" s="269"/>
      <c r="L318" s="269"/>
      <c r="M318" s="269"/>
      <c r="N318" s="758">
        <f>-Control!$D$44</f>
        <v>-46.754198799999926</v>
      </c>
      <c r="O318" s="655">
        <f t="shared" si="253"/>
        <v>0</v>
      </c>
      <c r="P318" s="654">
        <f t="shared" si="253"/>
        <v>0</v>
      </c>
      <c r="Q318" s="654">
        <f t="shared" si="253"/>
        <v>0</v>
      </c>
      <c r="R318" s="654">
        <f t="shared" si="253"/>
        <v>0</v>
      </c>
      <c r="S318" s="654">
        <f t="shared" si="253"/>
        <v>159.81349854351407</v>
      </c>
      <c r="T318" s="654">
        <f t="shared" si="253"/>
        <v>0</v>
      </c>
      <c r="U318" s="654">
        <f t="shared" si="253"/>
        <v>0</v>
      </c>
      <c r="V318" s="654">
        <f t="shared" si="253"/>
        <v>0</v>
      </c>
      <c r="W318" s="654">
        <f t="shared" si="253"/>
        <v>0</v>
      </c>
      <c r="X318" s="654">
        <f t="shared" si="253"/>
        <v>0</v>
      </c>
    </row>
    <row r="319" spans="1:24" outlineLevel="1">
      <c r="B319" s="184">
        <f t="shared" si="256"/>
        <v>2029</v>
      </c>
      <c r="C319" s="755" t="s">
        <v>563</v>
      </c>
      <c r="D319" s="756">
        <f t="shared" si="254"/>
        <v>0.26261464980335614</v>
      </c>
      <c r="E319" s="757">
        <f t="shared" si="255"/>
        <v>4.0515849031220164</v>
      </c>
      <c r="F319" s="654"/>
      <c r="G319" s="269"/>
      <c r="H319" s="634"/>
      <c r="I319" s="269"/>
      <c r="J319" s="269"/>
      <c r="K319" s="269"/>
      <c r="L319" s="269"/>
      <c r="M319" s="269"/>
      <c r="N319" s="758">
        <f>-Control!$D$44</f>
        <v>-46.754198799999926</v>
      </c>
      <c r="O319" s="655">
        <f t="shared" si="253"/>
        <v>0</v>
      </c>
      <c r="P319" s="654">
        <f t="shared" si="253"/>
        <v>0</v>
      </c>
      <c r="Q319" s="654">
        <f t="shared" si="253"/>
        <v>0</v>
      </c>
      <c r="R319" s="654">
        <f t="shared" si="253"/>
        <v>0</v>
      </c>
      <c r="S319" s="654">
        <f t="shared" si="253"/>
        <v>0</v>
      </c>
      <c r="T319" s="654">
        <f t="shared" si="253"/>
        <v>189.42860601564519</v>
      </c>
      <c r="U319" s="654">
        <f t="shared" si="253"/>
        <v>0</v>
      </c>
      <c r="V319" s="654">
        <f t="shared" si="253"/>
        <v>0</v>
      </c>
      <c r="W319" s="654">
        <f t="shared" si="253"/>
        <v>0</v>
      </c>
      <c r="X319" s="654">
        <f t="shared" si="253"/>
        <v>0</v>
      </c>
    </row>
    <row r="320" spans="1:24" outlineLevel="1">
      <c r="B320" s="184"/>
      <c r="C320" s="755"/>
      <c r="D320" s="756"/>
      <c r="E320" s="757"/>
      <c r="F320" s="654"/>
      <c r="G320" s="269"/>
      <c r="H320" s="634"/>
      <c r="I320" s="269"/>
      <c r="J320" s="269"/>
      <c r="K320" s="269"/>
      <c r="L320" s="269"/>
      <c r="M320" s="269"/>
      <c r="N320" s="758"/>
      <c r="O320" s="655"/>
      <c r="P320" s="654"/>
      <c r="Q320" s="654"/>
      <c r="R320" s="654"/>
      <c r="S320" s="654"/>
      <c r="T320" s="654"/>
      <c r="U320" s="654"/>
      <c r="V320" s="654"/>
      <c r="W320" s="654"/>
      <c r="X320" s="654"/>
    </row>
    <row r="321" spans="1:24" outlineLevel="1">
      <c r="B321" s="263" t="s">
        <v>407</v>
      </c>
      <c r="C321" s="755" t="s">
        <v>14</v>
      </c>
      <c r="D321" s="756">
        <f>INDEX(D314:D319,MATCH(Control!D59,Model!B314:B319,0))</f>
        <v>0.27867027094547425</v>
      </c>
      <c r="E321" s="757"/>
      <c r="F321" s="654"/>
      <c r="G321" s="269"/>
      <c r="H321" s="634"/>
      <c r="I321" s="269"/>
      <c r="J321" s="269"/>
      <c r="K321" s="269"/>
      <c r="L321" s="269"/>
      <c r="M321" s="269"/>
      <c r="N321" s="758"/>
      <c r="O321" s="655"/>
      <c r="P321" s="654"/>
      <c r="Q321" s="654"/>
      <c r="R321" s="654"/>
      <c r="S321" s="654"/>
      <c r="T321" s="654"/>
      <c r="U321" s="654"/>
      <c r="V321" s="654"/>
      <c r="W321" s="654"/>
      <c r="X321" s="654"/>
    </row>
    <row r="322" spans="1:24" outlineLevel="1">
      <c r="B322" s="263" t="s">
        <v>408</v>
      </c>
      <c r="C322" s="755" t="s">
        <v>113</v>
      </c>
      <c r="D322" s="757">
        <f>INDEX(E314:E319,MATCH(Control!D59,Model!B314:B319,0))</f>
        <v>3.4181635584677013</v>
      </c>
      <c r="E322" s="757"/>
      <c r="F322" s="654"/>
      <c r="G322" s="269"/>
      <c r="H322" s="634"/>
      <c r="I322" s="269"/>
      <c r="J322" s="269"/>
      <c r="K322" s="269"/>
      <c r="L322" s="269"/>
      <c r="M322" s="269"/>
      <c r="N322" s="758"/>
      <c r="O322" s="655"/>
      <c r="P322" s="654"/>
      <c r="Q322" s="654"/>
      <c r="R322" s="654"/>
      <c r="S322" s="654"/>
      <c r="T322" s="654"/>
      <c r="U322" s="654"/>
      <c r="V322" s="654"/>
      <c r="W322" s="654"/>
      <c r="X322" s="654"/>
    </row>
    <row r="323" spans="1:24">
      <c r="B323" s="184"/>
      <c r="C323" s="182"/>
      <c r="D323" s="269"/>
      <c r="E323" s="269"/>
      <c r="F323" s="269"/>
      <c r="G323" s="269"/>
      <c r="H323" s="634"/>
      <c r="I323" s="269"/>
      <c r="J323" s="269"/>
      <c r="K323" s="269"/>
      <c r="L323" s="269"/>
      <c r="M323" s="269"/>
      <c r="N323" s="747"/>
      <c r="O323" s="747"/>
      <c r="P323" s="269"/>
      <c r="Q323" s="269"/>
      <c r="R323" s="269"/>
      <c r="S323" s="269"/>
      <c r="T323" s="269"/>
      <c r="U323" s="269"/>
      <c r="V323" s="269"/>
      <c r="W323" s="269"/>
      <c r="X323" s="269"/>
    </row>
    <row r="324" spans="1:24" ht="17" thickBot="1">
      <c r="A324" s="177" t="s">
        <v>10</v>
      </c>
      <c r="B324" s="610" t="s">
        <v>757</v>
      </c>
      <c r="C324" s="610"/>
      <c r="D324" s="610"/>
      <c r="E324" s="610"/>
      <c r="F324" s="610"/>
      <c r="G324" s="610"/>
      <c r="H324" s="612"/>
      <c r="I324" s="610"/>
      <c r="J324" s="610"/>
      <c r="K324" s="610"/>
      <c r="L324" s="610"/>
      <c r="M324" s="610"/>
      <c r="N324" s="613"/>
      <c r="O324" s="613"/>
      <c r="P324" s="610"/>
      <c r="Q324" s="610"/>
      <c r="R324" s="610"/>
      <c r="S324" s="610"/>
      <c r="T324" s="610"/>
      <c r="U324" s="610"/>
      <c r="V324" s="610"/>
      <c r="W324" s="610"/>
      <c r="X324" s="610"/>
    </row>
    <row r="325" spans="1:24" outlineLevel="1">
      <c r="B325" s="184" t="s">
        <v>164</v>
      </c>
      <c r="C325" s="182" t="s">
        <v>165</v>
      </c>
      <c r="D325" s="269"/>
      <c r="E325" s="269"/>
      <c r="F325" s="759"/>
      <c r="G325" s="269"/>
      <c r="H325" s="634"/>
      <c r="I325" s="269"/>
      <c r="J325" s="269"/>
      <c r="K325" s="269"/>
      <c r="L325" s="269"/>
      <c r="M325" s="269"/>
      <c r="N325" s="747"/>
      <c r="O325" s="760">
        <f>+Control!D59</f>
        <v>2028</v>
      </c>
      <c r="P325" s="761">
        <f t="shared" ref="P325:X325" si="257">+O325</f>
        <v>2028</v>
      </c>
      <c r="Q325" s="759">
        <f t="shared" si="257"/>
        <v>2028</v>
      </c>
      <c r="R325" s="759">
        <f t="shared" si="257"/>
        <v>2028</v>
      </c>
      <c r="S325" s="759">
        <f t="shared" si="257"/>
        <v>2028</v>
      </c>
      <c r="T325" s="759">
        <f t="shared" si="257"/>
        <v>2028</v>
      </c>
      <c r="U325" s="759">
        <f t="shared" si="257"/>
        <v>2028</v>
      </c>
      <c r="V325" s="759">
        <f t="shared" si="257"/>
        <v>2028</v>
      </c>
      <c r="W325" s="759">
        <f t="shared" si="257"/>
        <v>2028</v>
      </c>
      <c r="X325" s="759">
        <f t="shared" si="257"/>
        <v>2028</v>
      </c>
    </row>
    <row r="326" spans="1:24" outlineLevel="1">
      <c r="B326" s="184" t="s">
        <v>405</v>
      </c>
      <c r="C326" s="182" t="s">
        <v>154</v>
      </c>
      <c r="D326" s="269"/>
      <c r="E326" s="269"/>
      <c r="F326" s="762"/>
      <c r="G326" s="269"/>
      <c r="H326" s="634"/>
      <c r="I326" s="269"/>
      <c r="J326" s="269"/>
      <c r="K326" s="269"/>
      <c r="L326" s="269"/>
      <c r="M326" s="269"/>
      <c r="N326" s="747"/>
      <c r="O326" s="763">
        <f t="shared" ref="O326:X326" si="258">+IF(O14&lt;=O325,1,0)</f>
        <v>1</v>
      </c>
      <c r="P326" s="762">
        <f t="shared" si="258"/>
        <v>1</v>
      </c>
      <c r="Q326" s="762">
        <f t="shared" si="258"/>
        <v>1</v>
      </c>
      <c r="R326" s="762">
        <f t="shared" si="258"/>
        <v>1</v>
      </c>
      <c r="S326" s="762">
        <f t="shared" si="258"/>
        <v>1</v>
      </c>
      <c r="T326" s="762">
        <f t="shared" si="258"/>
        <v>0</v>
      </c>
      <c r="U326" s="762">
        <f t="shared" si="258"/>
        <v>0</v>
      </c>
      <c r="V326" s="762">
        <f t="shared" si="258"/>
        <v>0</v>
      </c>
      <c r="W326" s="762">
        <f t="shared" si="258"/>
        <v>0</v>
      </c>
      <c r="X326" s="762">
        <f t="shared" si="258"/>
        <v>0</v>
      </c>
    </row>
    <row r="327" spans="1:24" outlineLevel="1">
      <c r="B327" s="184" t="str">
        <f>+Control!B55</f>
        <v>Pure Equity Injection</v>
      </c>
      <c r="C327" s="182" t="s">
        <v>67</v>
      </c>
      <c r="D327" s="269"/>
      <c r="E327" s="269"/>
      <c r="F327" s="762"/>
      <c r="G327" s="269"/>
      <c r="H327" s="764">
        <f>+H208</f>
        <v>18.033762394285684</v>
      </c>
      <c r="I327" s="269"/>
      <c r="J327" s="269"/>
      <c r="K327" s="269"/>
      <c r="L327" s="269"/>
      <c r="M327" s="269"/>
      <c r="N327" s="763">
        <f>+SUM(H327:M327)</f>
        <v>18.033762394285684</v>
      </c>
      <c r="O327" s="763"/>
      <c r="P327" s="762"/>
      <c r="Q327" s="762"/>
      <c r="R327" s="762"/>
      <c r="S327" s="762"/>
      <c r="T327" s="762"/>
      <c r="U327" s="762"/>
      <c r="V327" s="762"/>
      <c r="W327" s="762"/>
      <c r="X327" s="762"/>
    </row>
    <row r="328" spans="1:24" outlineLevel="1">
      <c r="B328" s="184" t="str">
        <f>+Output!C18</f>
        <v>Subordinated debt</v>
      </c>
      <c r="C328" s="182" t="str">
        <f>+Output!D18</f>
        <v>USD M</v>
      </c>
      <c r="D328" s="269"/>
      <c r="E328" s="269"/>
      <c r="F328" s="762"/>
      <c r="G328" s="269"/>
      <c r="H328" s="764"/>
      <c r="I328" s="654">
        <f>+I206</f>
        <v>15.362093891428545</v>
      </c>
      <c r="J328" s="269"/>
      <c r="K328" s="269"/>
      <c r="L328" s="269"/>
      <c r="M328" s="269"/>
      <c r="N328" s="763">
        <f>+SUM(H328:M328)</f>
        <v>15.362093891428545</v>
      </c>
      <c r="O328" s="763"/>
      <c r="P328" s="762"/>
      <c r="Q328" s="762"/>
      <c r="R328" s="762"/>
      <c r="S328" s="762"/>
      <c r="T328" s="762"/>
      <c r="U328" s="762"/>
      <c r="V328" s="762"/>
      <c r="W328" s="762"/>
      <c r="X328" s="762"/>
    </row>
    <row r="329" spans="1:24">
      <c r="B329" s="184"/>
      <c r="C329" s="182"/>
      <c r="D329" s="269"/>
      <c r="E329" s="269"/>
      <c r="F329" s="269"/>
      <c r="G329" s="269"/>
      <c r="H329" s="634"/>
      <c r="I329" s="269"/>
      <c r="J329" s="269"/>
      <c r="K329" s="269"/>
      <c r="L329" s="269"/>
      <c r="M329" s="269"/>
      <c r="N329" s="747"/>
      <c r="O329" s="747"/>
      <c r="P329" s="269"/>
      <c r="Q329" s="269"/>
      <c r="R329" s="269"/>
      <c r="S329" s="269"/>
      <c r="T329" s="269"/>
      <c r="U329" s="269"/>
      <c r="V329" s="269"/>
      <c r="W329" s="269"/>
      <c r="X329" s="269"/>
    </row>
    <row r="330" spans="1:24" ht="17" thickBot="1">
      <c r="A330" s="177" t="s">
        <v>10</v>
      </c>
      <c r="B330" s="610" t="s">
        <v>758</v>
      </c>
      <c r="C330" s="611"/>
      <c r="D330" s="610"/>
      <c r="E330" s="610"/>
      <c r="F330" s="610"/>
      <c r="G330" s="610"/>
      <c r="H330" s="612"/>
      <c r="I330" s="610"/>
      <c r="J330" s="610"/>
      <c r="K330" s="610"/>
      <c r="L330" s="610"/>
      <c r="M330" s="610"/>
      <c r="N330" s="613"/>
      <c r="O330" s="613"/>
      <c r="P330" s="610"/>
      <c r="Q330" s="610"/>
      <c r="R330" s="610"/>
      <c r="S330" s="610"/>
      <c r="T330" s="610"/>
      <c r="U330" s="610"/>
      <c r="V330" s="610"/>
      <c r="W330" s="610"/>
      <c r="X330" s="610"/>
    </row>
    <row r="331" spans="1:24" outlineLevel="1">
      <c r="B331" s="184" t="str">
        <f>+B327</f>
        <v>Pure Equity Injection</v>
      </c>
      <c r="C331" s="182" t="s">
        <v>67</v>
      </c>
      <c r="D331" s="269"/>
      <c r="E331" s="269"/>
      <c r="F331" s="765"/>
      <c r="G331" s="269"/>
      <c r="H331" s="634"/>
      <c r="I331" s="269"/>
      <c r="J331" s="269"/>
      <c r="K331" s="269"/>
      <c r="L331" s="269"/>
      <c r="M331" s="269"/>
      <c r="N331" s="655"/>
      <c r="O331" s="651">
        <f>-N327</f>
        <v>-18.033762394285684</v>
      </c>
      <c r="P331" s="765">
        <f t="shared" ref="P331:X331" si="259">-O327</f>
        <v>0</v>
      </c>
      <c r="Q331" s="765">
        <f t="shared" si="259"/>
        <v>0</v>
      </c>
      <c r="R331" s="765">
        <f t="shared" si="259"/>
        <v>0</v>
      </c>
      <c r="S331" s="765">
        <f t="shared" si="259"/>
        <v>0</v>
      </c>
      <c r="T331" s="765">
        <f t="shared" si="259"/>
        <v>0</v>
      </c>
      <c r="U331" s="765">
        <f t="shared" si="259"/>
        <v>0</v>
      </c>
      <c r="V331" s="765">
        <f t="shared" si="259"/>
        <v>0</v>
      </c>
      <c r="W331" s="765">
        <f t="shared" si="259"/>
        <v>0</v>
      </c>
      <c r="X331" s="765">
        <f t="shared" si="259"/>
        <v>0</v>
      </c>
    </row>
    <row r="332" spans="1:24" outlineLevel="1">
      <c r="B332" s="184" t="str">
        <f>+B328</f>
        <v>Subordinated debt</v>
      </c>
      <c r="C332" s="182" t="s">
        <v>67</v>
      </c>
      <c r="D332" s="269"/>
      <c r="E332" s="269"/>
      <c r="F332" s="765"/>
      <c r="G332" s="269"/>
      <c r="H332" s="634"/>
      <c r="I332" s="269"/>
      <c r="J332" s="269"/>
      <c r="K332" s="269"/>
      <c r="L332" s="269"/>
      <c r="M332" s="269"/>
      <c r="N332" s="655"/>
      <c r="O332" s="651">
        <f>-N328</f>
        <v>-15.362093891428545</v>
      </c>
      <c r="P332" s="765">
        <f t="shared" ref="P332:X332" si="260">-O328</f>
        <v>0</v>
      </c>
      <c r="Q332" s="765">
        <f t="shared" si="260"/>
        <v>0</v>
      </c>
      <c r="R332" s="765">
        <f t="shared" si="260"/>
        <v>0</v>
      </c>
      <c r="S332" s="765">
        <f t="shared" si="260"/>
        <v>0</v>
      </c>
      <c r="T332" s="765">
        <f t="shared" si="260"/>
        <v>0</v>
      </c>
      <c r="U332" s="765">
        <f t="shared" si="260"/>
        <v>0</v>
      </c>
      <c r="V332" s="765">
        <f t="shared" si="260"/>
        <v>0</v>
      </c>
      <c r="W332" s="765">
        <f t="shared" si="260"/>
        <v>0</v>
      </c>
      <c r="X332" s="765">
        <f t="shared" si="260"/>
        <v>0</v>
      </c>
    </row>
    <row r="333" spans="1:24" outlineLevel="1">
      <c r="B333" s="184" t="s">
        <v>406</v>
      </c>
      <c r="C333" s="182" t="s">
        <v>67</v>
      </c>
      <c r="F333" s="201"/>
      <c r="O333" s="651">
        <f>-O294*O326</f>
        <v>0</v>
      </c>
      <c r="P333" s="201">
        <f t="shared" ref="P333:X333" si="261">-P294*P326</f>
        <v>0</v>
      </c>
      <c r="Q333" s="201">
        <f t="shared" si="261"/>
        <v>-3.1965266510102173</v>
      </c>
      <c r="R333" s="201">
        <f t="shared" si="261"/>
        <v>-3.0930854813410029</v>
      </c>
      <c r="S333" s="201">
        <f t="shared" si="261"/>
        <v>-2.0282592357856046</v>
      </c>
      <c r="T333" s="201">
        <f t="shared" si="261"/>
        <v>0</v>
      </c>
      <c r="U333" s="201">
        <f t="shared" si="261"/>
        <v>0</v>
      </c>
      <c r="V333" s="201">
        <f t="shared" si="261"/>
        <v>0</v>
      </c>
      <c r="W333" s="201">
        <f t="shared" si="261"/>
        <v>0</v>
      </c>
      <c r="X333" s="201">
        <f t="shared" si="261"/>
        <v>0</v>
      </c>
    </row>
    <row r="334" spans="1:24" outlineLevel="1">
      <c r="B334" s="766" t="s">
        <v>431</v>
      </c>
      <c r="C334" s="182" t="s">
        <v>67</v>
      </c>
      <c r="F334" s="201"/>
      <c r="O334" s="651">
        <f>-O278*O326</f>
        <v>0</v>
      </c>
      <c r="P334" s="201">
        <f t="shared" ref="P334:X334" si="262">-P278*P326</f>
        <v>0</v>
      </c>
      <c r="Q334" s="201">
        <f t="shared" si="262"/>
        <v>0</v>
      </c>
      <c r="R334" s="201">
        <f t="shared" si="262"/>
        <v>0</v>
      </c>
      <c r="S334" s="201">
        <f>-S278*S326</f>
        <v>0</v>
      </c>
      <c r="T334" s="201">
        <f t="shared" si="262"/>
        <v>0</v>
      </c>
      <c r="U334" s="201">
        <f t="shared" si="262"/>
        <v>0</v>
      </c>
      <c r="V334" s="201">
        <f t="shared" si="262"/>
        <v>0</v>
      </c>
      <c r="W334" s="201">
        <f t="shared" si="262"/>
        <v>0</v>
      </c>
      <c r="X334" s="201">
        <f t="shared" si="262"/>
        <v>0</v>
      </c>
    </row>
    <row r="335" spans="1:24" outlineLevel="1">
      <c r="B335" s="766" t="s">
        <v>432</v>
      </c>
      <c r="C335" s="182" t="s">
        <v>67</v>
      </c>
      <c r="F335" s="201"/>
      <c r="O335" s="651">
        <f>-O273*O326</f>
        <v>0</v>
      </c>
      <c r="P335" s="201">
        <f t="shared" ref="P335:X335" si="263">-P273*P326</f>
        <v>0</v>
      </c>
      <c r="Q335" s="201">
        <f t="shared" si="263"/>
        <v>0</v>
      </c>
      <c r="R335" s="201">
        <f t="shared" si="263"/>
        <v>0</v>
      </c>
      <c r="S335" s="201">
        <f t="shared" si="263"/>
        <v>0</v>
      </c>
      <c r="T335" s="201">
        <f t="shared" si="263"/>
        <v>0</v>
      </c>
      <c r="U335" s="201">
        <f t="shared" si="263"/>
        <v>0</v>
      </c>
      <c r="V335" s="201">
        <f t="shared" si="263"/>
        <v>0</v>
      </c>
      <c r="W335" s="201">
        <f t="shared" si="263"/>
        <v>0</v>
      </c>
      <c r="X335" s="201">
        <f t="shared" si="263"/>
        <v>0</v>
      </c>
    </row>
    <row r="336" spans="1:24" outlineLevel="1">
      <c r="B336" s="184" t="s">
        <v>161</v>
      </c>
      <c r="C336" s="182" t="s">
        <v>67</v>
      </c>
      <c r="F336" s="201"/>
      <c r="O336" s="651">
        <f>-O293*O326</f>
        <v>0</v>
      </c>
      <c r="P336" s="201">
        <f t="shared" ref="P336:X336" si="264">-P293*P326</f>
        <v>0</v>
      </c>
      <c r="Q336" s="201">
        <f t="shared" si="264"/>
        <v>0</v>
      </c>
      <c r="R336" s="201">
        <f t="shared" si="264"/>
        <v>0</v>
      </c>
      <c r="S336" s="201">
        <f t="shared" si="264"/>
        <v>0</v>
      </c>
      <c r="T336" s="201">
        <f t="shared" si="264"/>
        <v>0</v>
      </c>
      <c r="U336" s="201">
        <f t="shared" si="264"/>
        <v>0</v>
      </c>
      <c r="V336" s="201">
        <f t="shared" si="264"/>
        <v>0</v>
      </c>
      <c r="W336" s="201">
        <f t="shared" si="264"/>
        <v>0</v>
      </c>
      <c r="X336" s="201">
        <f t="shared" si="264"/>
        <v>0</v>
      </c>
    </row>
    <row r="337" spans="1:24" outlineLevel="1">
      <c r="B337" s="184" t="s">
        <v>155</v>
      </c>
      <c r="C337" s="182" t="s">
        <v>67</v>
      </c>
      <c r="F337" s="201"/>
      <c r="O337" s="651">
        <f>-O286*O326</f>
        <v>0</v>
      </c>
      <c r="P337" s="201">
        <f t="shared" ref="P337:X337" si="265">-P286*P326</f>
        <v>0</v>
      </c>
      <c r="Q337" s="201">
        <f t="shared" si="265"/>
        <v>0</v>
      </c>
      <c r="R337" s="201">
        <f t="shared" si="265"/>
        <v>0</v>
      </c>
      <c r="S337" s="201">
        <f t="shared" si="265"/>
        <v>0</v>
      </c>
      <c r="T337" s="201">
        <f t="shared" si="265"/>
        <v>0</v>
      </c>
      <c r="U337" s="201">
        <f t="shared" si="265"/>
        <v>0</v>
      </c>
      <c r="V337" s="201">
        <f t="shared" si="265"/>
        <v>0</v>
      </c>
      <c r="W337" s="201">
        <f t="shared" si="265"/>
        <v>0</v>
      </c>
      <c r="X337" s="201">
        <f t="shared" si="265"/>
        <v>0</v>
      </c>
    </row>
    <row r="338" spans="1:24" outlineLevel="1">
      <c r="B338" s="216" t="s">
        <v>162</v>
      </c>
      <c r="C338" s="208" t="s">
        <v>67</v>
      </c>
      <c r="D338" s="292"/>
      <c r="E338" s="292"/>
      <c r="F338" s="294"/>
      <c r="G338" s="292"/>
      <c r="H338" s="631"/>
      <c r="I338" s="292"/>
      <c r="J338" s="292"/>
      <c r="K338" s="292"/>
      <c r="L338" s="292"/>
      <c r="M338" s="292"/>
      <c r="N338" s="649"/>
      <c r="O338" s="632">
        <f>+IF(O14=O325,1,0)</f>
        <v>0</v>
      </c>
      <c r="P338" s="294">
        <f t="shared" ref="P338:X338" si="266">+IF(P14=P325,1,0)*P309</f>
        <v>0</v>
      </c>
      <c r="Q338" s="294">
        <f t="shared" si="266"/>
        <v>0</v>
      </c>
      <c r="R338" s="294">
        <f t="shared" si="266"/>
        <v>0</v>
      </c>
      <c r="S338" s="294">
        <f t="shared" si="266"/>
        <v>138.45515602922839</v>
      </c>
      <c r="T338" s="294">
        <f t="shared" si="266"/>
        <v>0</v>
      </c>
      <c r="U338" s="294">
        <f t="shared" si="266"/>
        <v>0</v>
      </c>
      <c r="V338" s="294">
        <f t="shared" si="266"/>
        <v>0</v>
      </c>
      <c r="W338" s="294">
        <f t="shared" si="266"/>
        <v>0</v>
      </c>
      <c r="X338" s="294">
        <f t="shared" si="266"/>
        <v>0</v>
      </c>
    </row>
    <row r="339" spans="1:24" outlineLevel="1">
      <c r="B339" s="213" t="s">
        <v>759</v>
      </c>
      <c r="C339" s="211" t="s">
        <v>67</v>
      </c>
      <c r="F339" s="219"/>
      <c r="N339" s="626"/>
      <c r="O339" s="626">
        <f t="shared" ref="O339:X339" si="267">+SUM(O331:O338)</f>
        <v>-33.395856285714231</v>
      </c>
      <c r="P339" s="219">
        <f t="shared" si="267"/>
        <v>0</v>
      </c>
      <c r="Q339" s="219">
        <f t="shared" si="267"/>
        <v>-3.1965266510102173</v>
      </c>
      <c r="R339" s="219">
        <f t="shared" si="267"/>
        <v>-3.0930854813410029</v>
      </c>
      <c r="S339" s="219">
        <f t="shared" si="267"/>
        <v>136.42689679344278</v>
      </c>
      <c r="T339" s="219">
        <f t="shared" si="267"/>
        <v>0</v>
      </c>
      <c r="U339" s="219">
        <f t="shared" si="267"/>
        <v>0</v>
      </c>
      <c r="V339" s="219">
        <f t="shared" si="267"/>
        <v>0</v>
      </c>
      <c r="W339" s="219">
        <f t="shared" si="267"/>
        <v>0</v>
      </c>
      <c r="X339" s="219">
        <f t="shared" si="267"/>
        <v>0</v>
      </c>
    </row>
    <row r="340" spans="1:24" outlineLevel="1">
      <c r="D340" s="767" t="s">
        <v>735</v>
      </c>
      <c r="O340" s="768"/>
    </row>
    <row r="341" spans="1:24" outlineLevel="1">
      <c r="B341" s="184" t="s">
        <v>166</v>
      </c>
      <c r="C341" s="182" t="s">
        <v>14</v>
      </c>
      <c r="D341" s="614">
        <f>+IRR(O339:X339)</f>
        <v>0.39345196829848961</v>
      </c>
      <c r="N341" s="769"/>
      <c r="S341" s="482"/>
    </row>
    <row r="342" spans="1:24" outlineLevel="1">
      <c r="B342" s="184" t="s">
        <v>167</v>
      </c>
      <c r="C342" s="182" t="s">
        <v>113</v>
      </c>
      <c r="D342" s="206">
        <f>+SUM(O334:X338)/-SUM(O331:X333)</f>
        <v>3.3191748572114497</v>
      </c>
      <c r="N342" s="770"/>
      <c r="S342" s="201"/>
    </row>
    <row r="343" spans="1:24">
      <c r="C343" s="180"/>
    </row>
    <row r="344" spans="1:24" ht="17" thickBot="1">
      <c r="A344" s="177" t="s">
        <v>10</v>
      </c>
      <c r="B344" s="610" t="s">
        <v>764</v>
      </c>
      <c r="C344" s="611"/>
      <c r="D344" s="610"/>
      <c r="E344" s="610"/>
      <c r="F344" s="610"/>
      <c r="G344" s="610"/>
      <c r="H344" s="612"/>
      <c r="I344" s="610"/>
      <c r="J344" s="610"/>
      <c r="K344" s="610"/>
      <c r="L344" s="610"/>
      <c r="M344" s="610"/>
      <c r="N344" s="613"/>
      <c r="O344" s="613"/>
      <c r="P344" s="610"/>
      <c r="Q344" s="610"/>
      <c r="R344" s="610"/>
      <c r="S344" s="610"/>
      <c r="T344" s="610"/>
      <c r="U344" s="610"/>
      <c r="V344" s="610"/>
      <c r="W344" s="610"/>
      <c r="X344" s="610"/>
    </row>
    <row r="345" spans="1:24" outlineLevel="1">
      <c r="A345" s="269"/>
      <c r="B345" s="184" t="s">
        <v>761</v>
      </c>
      <c r="C345" s="182" t="s">
        <v>770</v>
      </c>
      <c r="D345" s="633">
        <f>1-D346</f>
        <v>0.9</v>
      </c>
      <c r="E345" s="269"/>
      <c r="F345" s="269"/>
      <c r="G345" s="269"/>
      <c r="H345" s="634"/>
      <c r="I345" s="269"/>
      <c r="J345" s="269"/>
      <c r="K345" s="269"/>
      <c r="L345" s="269"/>
      <c r="M345" s="269"/>
      <c r="N345" s="747"/>
      <c r="O345" s="771">
        <f>+D345</f>
        <v>0.9</v>
      </c>
      <c r="P345" s="756">
        <f>+O345</f>
        <v>0.9</v>
      </c>
      <c r="Q345" s="756">
        <f t="shared" ref="Q345:X345" si="268">+P345</f>
        <v>0.9</v>
      </c>
      <c r="R345" s="756">
        <f t="shared" si="268"/>
        <v>0.9</v>
      </c>
      <c r="S345" s="756">
        <f t="shared" si="268"/>
        <v>0.9</v>
      </c>
      <c r="T345" s="756">
        <f t="shared" si="268"/>
        <v>0.9</v>
      </c>
      <c r="U345" s="756">
        <f t="shared" si="268"/>
        <v>0.9</v>
      </c>
      <c r="V345" s="756">
        <f t="shared" si="268"/>
        <v>0.9</v>
      </c>
      <c r="W345" s="756">
        <f t="shared" si="268"/>
        <v>0.9</v>
      </c>
      <c r="X345" s="756">
        <f t="shared" si="268"/>
        <v>0.9</v>
      </c>
    </row>
    <row r="346" spans="1:24" outlineLevel="1">
      <c r="A346" s="269"/>
      <c r="B346" s="184" t="s">
        <v>762</v>
      </c>
      <c r="C346" s="182" t="s">
        <v>770</v>
      </c>
      <c r="D346" s="772">
        <f>Control!D90</f>
        <v>0.1</v>
      </c>
      <c r="E346" s="269"/>
      <c r="F346" s="269"/>
      <c r="G346" s="269"/>
      <c r="H346" s="634"/>
      <c r="I346" s="269"/>
      <c r="J346" s="269"/>
      <c r="K346" s="269"/>
      <c r="L346" s="269"/>
      <c r="M346" s="269"/>
      <c r="N346" s="747"/>
      <c r="O346" s="635">
        <f>+D346</f>
        <v>0.1</v>
      </c>
      <c r="P346" s="633">
        <f>+O346</f>
        <v>0.1</v>
      </c>
      <c r="Q346" s="633">
        <f t="shared" ref="Q346:X346" si="269">+P346</f>
        <v>0.1</v>
      </c>
      <c r="R346" s="633">
        <f t="shared" si="269"/>
        <v>0.1</v>
      </c>
      <c r="S346" s="633">
        <f t="shared" si="269"/>
        <v>0.1</v>
      </c>
      <c r="T346" s="633">
        <f t="shared" si="269"/>
        <v>0.1</v>
      </c>
      <c r="U346" s="633">
        <f t="shared" si="269"/>
        <v>0.1</v>
      </c>
      <c r="V346" s="633">
        <f t="shared" si="269"/>
        <v>0.1</v>
      </c>
      <c r="W346" s="633">
        <f t="shared" si="269"/>
        <v>0.1</v>
      </c>
      <c r="X346" s="633">
        <f t="shared" si="269"/>
        <v>0.1</v>
      </c>
    </row>
    <row r="347" spans="1:24" outlineLevel="1">
      <c r="A347" s="269"/>
      <c r="C347" s="773"/>
      <c r="D347" s="269"/>
      <c r="E347" s="269"/>
      <c r="F347" s="269"/>
      <c r="G347" s="269"/>
      <c r="H347" s="634"/>
      <c r="I347" s="269"/>
      <c r="J347" s="269"/>
      <c r="K347" s="269"/>
      <c r="L347" s="269"/>
      <c r="M347" s="269"/>
      <c r="N347" s="747"/>
      <c r="O347" s="747"/>
      <c r="P347" s="269"/>
      <c r="Q347" s="269"/>
      <c r="R347" s="269"/>
      <c r="S347" s="269"/>
      <c r="T347" s="269"/>
      <c r="U347" s="269"/>
      <c r="V347" s="269"/>
      <c r="W347" s="269"/>
      <c r="X347" s="269"/>
    </row>
    <row r="348" spans="1:24" outlineLevel="1">
      <c r="A348" s="269"/>
      <c r="B348" s="213" t="s">
        <v>772</v>
      </c>
      <c r="C348" s="773"/>
      <c r="D348" s="269"/>
      <c r="E348" s="269"/>
      <c r="F348" s="269"/>
      <c r="G348" s="269"/>
      <c r="H348" s="634"/>
      <c r="I348" s="269"/>
      <c r="J348" s="269"/>
      <c r="K348" s="269"/>
      <c r="L348" s="269"/>
      <c r="M348" s="269"/>
      <c r="N348" s="747"/>
      <c r="O348" s="747"/>
      <c r="P348" s="269"/>
      <c r="Q348" s="269"/>
      <c r="R348" s="269"/>
      <c r="S348" s="269"/>
      <c r="T348" s="269"/>
      <c r="U348" s="269"/>
      <c r="V348" s="269"/>
      <c r="W348" s="269"/>
      <c r="X348" s="269"/>
    </row>
    <row r="349" spans="1:24" outlineLevel="1">
      <c r="A349" s="269"/>
      <c r="B349" s="184" t="s">
        <v>761</v>
      </c>
      <c r="C349" s="182" t="s">
        <v>67</v>
      </c>
      <c r="D349" s="201">
        <f>SUM(O349:X349)</f>
        <v>37.542354888465951</v>
      </c>
      <c r="E349" s="269"/>
      <c r="F349" s="269"/>
      <c r="G349" s="269"/>
      <c r="H349" s="634"/>
      <c r="I349" s="269"/>
      <c r="J349" s="269"/>
      <c r="K349" s="269"/>
      <c r="L349" s="269"/>
      <c r="M349" s="269"/>
      <c r="N349" s="747"/>
      <c r="O349" s="655">
        <f t="shared" ref="O349:X349" si="270">+O351*O345</f>
        <v>30.056270657142807</v>
      </c>
      <c r="P349" s="654">
        <f t="shared" si="270"/>
        <v>0</v>
      </c>
      <c r="Q349" s="654">
        <f t="shared" si="270"/>
        <v>2.8768739859091954</v>
      </c>
      <c r="R349" s="654">
        <f t="shared" si="270"/>
        <v>2.7837769332069029</v>
      </c>
      <c r="S349" s="654">
        <f t="shared" si="270"/>
        <v>1.8254333122070443</v>
      </c>
      <c r="T349" s="654">
        <f t="shared" si="270"/>
        <v>0</v>
      </c>
      <c r="U349" s="654">
        <f t="shared" si="270"/>
        <v>0</v>
      </c>
      <c r="V349" s="654">
        <f t="shared" si="270"/>
        <v>0</v>
      </c>
      <c r="W349" s="654">
        <f t="shared" si="270"/>
        <v>0</v>
      </c>
      <c r="X349" s="654">
        <f t="shared" si="270"/>
        <v>0</v>
      </c>
    </row>
    <row r="350" spans="1:24" outlineLevel="1">
      <c r="A350" s="269"/>
      <c r="B350" s="216" t="s">
        <v>762</v>
      </c>
      <c r="C350" s="208" t="s">
        <v>67</v>
      </c>
      <c r="D350" s="294">
        <f>SUM(O350:X350)</f>
        <v>4.1713727653851063</v>
      </c>
      <c r="E350" s="267"/>
      <c r="F350" s="267"/>
      <c r="G350" s="267"/>
      <c r="H350" s="657"/>
      <c r="I350" s="267"/>
      <c r="J350" s="267"/>
      <c r="K350" s="267"/>
      <c r="L350" s="267"/>
      <c r="M350" s="267"/>
      <c r="N350" s="774"/>
      <c r="O350" s="659">
        <f t="shared" ref="O350:X350" si="271">+O351*O346</f>
        <v>3.3395856285714234</v>
      </c>
      <c r="P350" s="656">
        <f t="shared" si="271"/>
        <v>0</v>
      </c>
      <c r="Q350" s="656">
        <f t="shared" si="271"/>
        <v>0.31965266510102175</v>
      </c>
      <c r="R350" s="656">
        <f t="shared" si="271"/>
        <v>0.3093085481341003</v>
      </c>
      <c r="S350" s="656">
        <f t="shared" si="271"/>
        <v>0.20282592357856047</v>
      </c>
      <c r="T350" s="656">
        <f t="shared" si="271"/>
        <v>0</v>
      </c>
      <c r="U350" s="656">
        <f t="shared" si="271"/>
        <v>0</v>
      </c>
      <c r="V350" s="656">
        <f t="shared" si="271"/>
        <v>0</v>
      </c>
      <c r="W350" s="656">
        <f t="shared" si="271"/>
        <v>0</v>
      </c>
      <c r="X350" s="656">
        <f t="shared" si="271"/>
        <v>0</v>
      </c>
    </row>
    <row r="351" spans="1:24" outlineLevel="1">
      <c r="A351" s="269"/>
      <c r="B351" s="269" t="s">
        <v>763</v>
      </c>
      <c r="C351" s="211" t="s">
        <v>67</v>
      </c>
      <c r="D351" s="660">
        <f>SUM(O351:X351)</f>
        <v>41.713727653851059</v>
      </c>
      <c r="E351" s="269"/>
      <c r="F351" s="269"/>
      <c r="G351" s="269"/>
      <c r="H351" s="634"/>
      <c r="I351" s="269"/>
      <c r="J351" s="269"/>
      <c r="K351" s="269"/>
      <c r="L351" s="269"/>
      <c r="M351" s="269"/>
      <c r="N351" s="747"/>
      <c r="O351" s="661">
        <f t="shared" ref="O351:X351" si="272">-SUM(O331:O333)</f>
        <v>33.395856285714231</v>
      </c>
      <c r="P351" s="660">
        <f t="shared" si="272"/>
        <v>0</v>
      </c>
      <c r="Q351" s="660">
        <f t="shared" si="272"/>
        <v>3.1965266510102173</v>
      </c>
      <c r="R351" s="660">
        <f t="shared" si="272"/>
        <v>3.0930854813410029</v>
      </c>
      <c r="S351" s="660">
        <f t="shared" si="272"/>
        <v>2.0282592357856046</v>
      </c>
      <c r="T351" s="660">
        <f t="shared" si="272"/>
        <v>0</v>
      </c>
      <c r="U351" s="660">
        <f t="shared" si="272"/>
        <v>0</v>
      </c>
      <c r="V351" s="660">
        <f t="shared" si="272"/>
        <v>0</v>
      </c>
      <c r="W351" s="660">
        <f t="shared" si="272"/>
        <v>0</v>
      </c>
      <c r="X351" s="660">
        <f t="shared" si="272"/>
        <v>0</v>
      </c>
    </row>
    <row r="352" spans="1:24" outlineLevel="1">
      <c r="A352" s="269"/>
      <c r="B352" s="269"/>
      <c r="C352" s="773"/>
      <c r="D352" s="269"/>
      <c r="E352" s="269"/>
      <c r="F352" s="269"/>
      <c r="G352" s="269"/>
      <c r="H352" s="634"/>
      <c r="I352" s="269"/>
      <c r="J352" s="269"/>
      <c r="K352" s="269"/>
      <c r="L352" s="269"/>
      <c r="M352" s="269"/>
      <c r="N352" s="747"/>
      <c r="O352" s="747"/>
      <c r="P352" s="269"/>
      <c r="Q352" s="269"/>
      <c r="R352" s="269"/>
      <c r="S352" s="269"/>
      <c r="T352" s="269"/>
      <c r="U352" s="269"/>
      <c r="V352" s="269"/>
      <c r="W352" s="269"/>
      <c r="X352" s="269"/>
    </row>
    <row r="353" spans="1:24" outlineLevel="1">
      <c r="A353" s="180" t="s">
        <v>24</v>
      </c>
      <c r="B353" s="269" t="s">
        <v>766</v>
      </c>
    </row>
    <row r="354" spans="1:24" outlineLevel="1">
      <c r="B354" s="184" t="s">
        <v>765</v>
      </c>
      <c r="C354" s="182" t="s">
        <v>767</v>
      </c>
      <c r="D354" s="775">
        <f>Control!D96</f>
        <v>1.4</v>
      </c>
      <c r="E354" s="371"/>
      <c r="F354" s="371"/>
      <c r="G354" s="371"/>
      <c r="H354" s="776"/>
      <c r="I354" s="371"/>
      <c r="J354" s="371"/>
      <c r="K354" s="371"/>
      <c r="L354" s="371"/>
      <c r="M354" s="371"/>
      <c r="N354" s="777"/>
      <c r="O354" s="777"/>
      <c r="P354" s="371"/>
      <c r="Q354" s="371"/>
      <c r="R354" s="371"/>
      <c r="S354" s="371"/>
      <c r="T354" s="371"/>
      <c r="U354" s="371"/>
      <c r="V354" s="371"/>
      <c r="W354" s="371"/>
      <c r="X354" s="371"/>
    </row>
    <row r="355" spans="1:24" outlineLevel="1">
      <c r="B355" s="184" t="s">
        <v>768</v>
      </c>
      <c r="C355" s="182" t="s">
        <v>394</v>
      </c>
      <c r="D355" s="778">
        <f>+Control!D59-2024</f>
        <v>4</v>
      </c>
      <c r="O355" s="779"/>
      <c r="P355" s="780"/>
      <c r="Q355" s="780"/>
      <c r="R355" s="780"/>
      <c r="S355" s="780"/>
      <c r="T355" s="780"/>
      <c r="U355" s="780"/>
      <c r="V355" s="780"/>
      <c r="W355" s="780"/>
      <c r="X355" s="780"/>
    </row>
    <row r="356" spans="1:24" outlineLevel="1">
      <c r="B356" s="216" t="s">
        <v>769</v>
      </c>
      <c r="C356" s="208" t="s">
        <v>14</v>
      </c>
      <c r="D356" s="781">
        <f>+(D354)^(1/D355)-1</f>
        <v>8.7757305937277152E-2</v>
      </c>
      <c r="E356" s="292"/>
      <c r="F356" s="292"/>
      <c r="G356" s="292"/>
      <c r="H356" s="631"/>
      <c r="I356" s="292"/>
      <c r="J356" s="292"/>
      <c r="K356" s="292"/>
      <c r="L356" s="292"/>
      <c r="M356" s="292"/>
      <c r="N356" s="649"/>
      <c r="O356" s="669"/>
      <c r="P356" s="446"/>
      <c r="Q356" s="446"/>
      <c r="R356" s="446"/>
      <c r="S356" s="446"/>
      <c r="T356" s="446"/>
      <c r="U356" s="446"/>
      <c r="V356" s="446"/>
      <c r="W356" s="446"/>
      <c r="X356" s="446"/>
    </row>
    <row r="357" spans="1:24" outlineLevel="1">
      <c r="B357" s="269" t="s">
        <v>782</v>
      </c>
      <c r="C357" s="211" t="s">
        <v>67</v>
      </c>
      <c r="D357" s="219">
        <f>+D351*D354</f>
        <v>58.399218715391477</v>
      </c>
      <c r="O357" s="626"/>
      <c r="P357" s="219"/>
      <c r="Q357" s="219"/>
      <c r="R357" s="219"/>
      <c r="S357" s="219"/>
      <c r="T357" s="219"/>
      <c r="U357" s="219"/>
      <c r="V357" s="219"/>
      <c r="W357" s="219"/>
      <c r="X357" s="219"/>
    </row>
    <row r="358" spans="1:24" s="240" customFormat="1" outlineLevel="1">
      <c r="B358" s="401" t="s">
        <v>773</v>
      </c>
      <c r="C358" s="182" t="s">
        <v>67</v>
      </c>
      <c r="D358" s="405">
        <f>+D354*D349</f>
        <v>52.55929684385233</v>
      </c>
      <c r="H358" s="736"/>
      <c r="N358" s="737"/>
      <c r="O358" s="677"/>
      <c r="P358" s="405"/>
      <c r="Q358" s="405"/>
      <c r="R358" s="405"/>
      <c r="S358" s="405"/>
      <c r="T358" s="405"/>
      <c r="U358" s="405"/>
      <c r="V358" s="405"/>
      <c r="W358" s="405"/>
      <c r="X358" s="405"/>
    </row>
    <row r="359" spans="1:24" s="240" customFormat="1" outlineLevel="1">
      <c r="B359" s="401" t="s">
        <v>774</v>
      </c>
      <c r="C359" s="182" t="s">
        <v>67</v>
      </c>
      <c r="D359" s="405">
        <f>+D350*D354</f>
        <v>5.8399218715391488</v>
      </c>
      <c r="H359" s="736"/>
      <c r="N359" s="737"/>
      <c r="O359" s="677"/>
      <c r="P359" s="405"/>
      <c r="Q359" s="405"/>
      <c r="R359" s="405"/>
      <c r="S359" s="405"/>
      <c r="T359" s="405"/>
      <c r="U359" s="405"/>
      <c r="V359" s="405"/>
      <c r="W359" s="405"/>
      <c r="X359" s="405"/>
    </row>
    <row r="360" spans="1:24" s="240" customFormat="1" outlineLevel="1">
      <c r="B360" s="401"/>
      <c r="C360" s="182"/>
      <c r="D360" s="405"/>
      <c r="H360" s="736"/>
      <c r="N360" s="737"/>
      <c r="O360" s="677"/>
      <c r="P360" s="405"/>
      <c r="Q360" s="405"/>
      <c r="R360" s="405"/>
      <c r="S360" s="405"/>
      <c r="T360" s="405"/>
      <c r="U360" s="405"/>
      <c r="V360" s="405"/>
      <c r="W360" s="405"/>
      <c r="X360" s="405"/>
    </row>
    <row r="361" spans="1:24" s="240" customFormat="1" outlineLevel="1">
      <c r="B361" s="269" t="s">
        <v>779</v>
      </c>
      <c r="C361" s="211" t="s">
        <v>67</v>
      </c>
      <c r="D361" s="405"/>
      <c r="H361" s="736"/>
      <c r="N361" s="737"/>
      <c r="O361" s="626">
        <f t="shared" ref="O361:X361" si="273">+MAX(0,SUM(O334:O338))</f>
        <v>0</v>
      </c>
      <c r="P361" s="219">
        <f t="shared" si="273"/>
        <v>0</v>
      </c>
      <c r="Q361" s="219">
        <f t="shared" si="273"/>
        <v>0</v>
      </c>
      <c r="R361" s="219">
        <f t="shared" si="273"/>
        <v>0</v>
      </c>
      <c r="S361" s="219">
        <f t="shared" si="273"/>
        <v>138.45515602922839</v>
      </c>
      <c r="T361" s="219">
        <f t="shared" si="273"/>
        <v>0</v>
      </c>
      <c r="U361" s="219">
        <f t="shared" si="273"/>
        <v>0</v>
      </c>
      <c r="V361" s="219">
        <f t="shared" si="273"/>
        <v>0</v>
      </c>
      <c r="W361" s="219">
        <f t="shared" si="273"/>
        <v>0</v>
      </c>
      <c r="X361" s="219">
        <f t="shared" si="273"/>
        <v>0</v>
      </c>
    </row>
    <row r="362" spans="1:24" s="240" customFormat="1" outlineLevel="1">
      <c r="B362" s="184" t="s">
        <v>852</v>
      </c>
      <c r="C362" s="182" t="s">
        <v>67</v>
      </c>
      <c r="D362" s="405"/>
      <c r="H362" s="736"/>
      <c r="N362" s="737"/>
      <c r="O362" s="651">
        <f>MIN(O361,$D$358)</f>
        <v>0</v>
      </c>
      <c r="P362" s="201">
        <f t="shared" ref="P362:X362" si="274">MIN(P361,$D$358)</f>
        <v>0</v>
      </c>
      <c r="Q362" s="201">
        <f t="shared" si="274"/>
        <v>0</v>
      </c>
      <c r="R362" s="201">
        <f t="shared" si="274"/>
        <v>0</v>
      </c>
      <c r="S362" s="201">
        <f t="shared" si="274"/>
        <v>52.55929684385233</v>
      </c>
      <c r="T362" s="201">
        <f t="shared" si="274"/>
        <v>0</v>
      </c>
      <c r="U362" s="201">
        <f t="shared" si="274"/>
        <v>0</v>
      </c>
      <c r="V362" s="201">
        <f t="shared" si="274"/>
        <v>0</v>
      </c>
      <c r="W362" s="201">
        <f t="shared" si="274"/>
        <v>0</v>
      </c>
      <c r="X362" s="201">
        <f t="shared" si="274"/>
        <v>0</v>
      </c>
    </row>
    <row r="363" spans="1:24" outlineLevel="1">
      <c r="B363" s="269"/>
    </row>
    <row r="364" spans="1:24" s="213" customFormat="1" outlineLevel="1">
      <c r="B364" s="269" t="s">
        <v>776</v>
      </c>
      <c r="C364" s="211" t="s">
        <v>67</v>
      </c>
      <c r="H364" s="624"/>
      <c r="N364" s="739"/>
      <c r="O364" s="626">
        <f>+N367</f>
        <v>0</v>
      </c>
      <c r="P364" s="219">
        <f t="shared" ref="P364:X364" si="275">+O367</f>
        <v>52.55929684385233</v>
      </c>
      <c r="Q364" s="219">
        <f t="shared" si="275"/>
        <v>52.55929684385233</v>
      </c>
      <c r="R364" s="219">
        <f t="shared" si="275"/>
        <v>52.55929684385233</v>
      </c>
      <c r="S364" s="219">
        <f t="shared" si="275"/>
        <v>52.55929684385233</v>
      </c>
      <c r="T364" s="219">
        <f t="shared" si="275"/>
        <v>0</v>
      </c>
      <c r="U364" s="219">
        <f t="shared" si="275"/>
        <v>0</v>
      </c>
      <c r="V364" s="219">
        <f t="shared" si="275"/>
        <v>0</v>
      </c>
      <c r="W364" s="219">
        <f t="shared" si="275"/>
        <v>0</v>
      </c>
      <c r="X364" s="219">
        <f t="shared" si="275"/>
        <v>0</v>
      </c>
    </row>
    <row r="365" spans="1:24" outlineLevel="1">
      <c r="B365" s="184" t="s">
        <v>186</v>
      </c>
      <c r="C365" s="182" t="s">
        <v>67</v>
      </c>
      <c r="O365" s="651">
        <f>+D358</f>
        <v>52.55929684385233</v>
      </c>
      <c r="P365" s="201"/>
      <c r="Q365" s="201"/>
      <c r="R365" s="201"/>
      <c r="S365" s="201"/>
      <c r="T365" s="201"/>
      <c r="U365" s="201"/>
      <c r="V365" s="201"/>
      <c r="W365" s="201"/>
      <c r="X365" s="201"/>
    </row>
    <row r="366" spans="1:24" outlineLevel="1">
      <c r="B366" s="216" t="s">
        <v>187</v>
      </c>
      <c r="C366" s="208" t="s">
        <v>67</v>
      </c>
      <c r="D366" s="292"/>
      <c r="E366" s="292"/>
      <c r="F366" s="292"/>
      <c r="G366" s="292"/>
      <c r="H366" s="631"/>
      <c r="I366" s="292"/>
      <c r="J366" s="292"/>
      <c r="K366" s="292"/>
      <c r="L366" s="292"/>
      <c r="M366" s="292"/>
      <c r="N366" s="649"/>
      <c r="O366" s="632">
        <f>-MIN(SUM(O364:O365),O362)</f>
        <v>0</v>
      </c>
      <c r="P366" s="294">
        <f t="shared" ref="P366:X366" si="276">-MIN(SUM(P364:P365),P362)</f>
        <v>0</v>
      </c>
      <c r="Q366" s="294">
        <f t="shared" si="276"/>
        <v>0</v>
      </c>
      <c r="R366" s="294">
        <f t="shared" si="276"/>
        <v>0</v>
      </c>
      <c r="S366" s="294">
        <f t="shared" si="276"/>
        <v>-52.55929684385233</v>
      </c>
      <c r="T366" s="294">
        <f t="shared" si="276"/>
        <v>0</v>
      </c>
      <c r="U366" s="294">
        <f t="shared" si="276"/>
        <v>0</v>
      </c>
      <c r="V366" s="294">
        <f t="shared" si="276"/>
        <v>0</v>
      </c>
      <c r="W366" s="294">
        <f t="shared" si="276"/>
        <v>0</v>
      </c>
      <c r="X366" s="294">
        <f t="shared" si="276"/>
        <v>0</v>
      </c>
    </row>
    <row r="367" spans="1:24" s="213" customFormat="1" outlineLevel="1">
      <c r="B367" s="269" t="s">
        <v>777</v>
      </c>
      <c r="C367" s="211" t="s">
        <v>67</v>
      </c>
      <c r="H367" s="624"/>
      <c r="N367" s="739"/>
      <c r="O367" s="626">
        <f>+SUM(O364:O366)</f>
        <v>52.55929684385233</v>
      </c>
      <c r="P367" s="219">
        <f t="shared" ref="P367:X367" si="277">+SUM(P364:P366)</f>
        <v>52.55929684385233</v>
      </c>
      <c r="Q367" s="219">
        <f t="shared" si="277"/>
        <v>52.55929684385233</v>
      </c>
      <c r="R367" s="219">
        <f t="shared" si="277"/>
        <v>52.55929684385233</v>
      </c>
      <c r="S367" s="219">
        <f t="shared" si="277"/>
        <v>0</v>
      </c>
      <c r="T367" s="219">
        <f t="shared" si="277"/>
        <v>0</v>
      </c>
      <c r="U367" s="219">
        <f t="shared" si="277"/>
        <v>0</v>
      </c>
      <c r="V367" s="219">
        <f t="shared" si="277"/>
        <v>0</v>
      </c>
      <c r="W367" s="219">
        <f t="shared" si="277"/>
        <v>0</v>
      </c>
      <c r="X367" s="219">
        <f t="shared" si="277"/>
        <v>0</v>
      </c>
    </row>
    <row r="368" spans="1:24" outlineLevel="1">
      <c r="B368" s="184"/>
    </row>
    <row r="369" spans="1:24" s="419" customFormat="1" outlineLevel="1">
      <c r="B369" s="269" t="s">
        <v>778</v>
      </c>
      <c r="C369" s="211" t="s">
        <v>67</v>
      </c>
      <c r="D369" s="682"/>
      <c r="H369" s="707"/>
      <c r="N369" s="782"/>
      <c r="O369" s="626">
        <f>O361+O366</f>
        <v>0</v>
      </c>
      <c r="P369" s="219">
        <f t="shared" ref="P369:X369" si="278">P361+P366</f>
        <v>0</v>
      </c>
      <c r="Q369" s="219">
        <f t="shared" si="278"/>
        <v>0</v>
      </c>
      <c r="R369" s="219">
        <f t="shared" si="278"/>
        <v>0</v>
      </c>
      <c r="S369" s="219">
        <f>S361+S366</f>
        <v>85.895859185376054</v>
      </c>
      <c r="T369" s="219">
        <f t="shared" si="278"/>
        <v>0</v>
      </c>
      <c r="U369" s="219">
        <f t="shared" si="278"/>
        <v>0</v>
      </c>
      <c r="V369" s="219">
        <f t="shared" si="278"/>
        <v>0</v>
      </c>
      <c r="W369" s="219">
        <f t="shared" si="278"/>
        <v>0</v>
      </c>
      <c r="X369" s="219">
        <f t="shared" si="278"/>
        <v>0</v>
      </c>
    </row>
    <row r="370" spans="1:24" s="419" customFormat="1" outlineLevel="1">
      <c r="B370" s="184" t="s">
        <v>852</v>
      </c>
      <c r="C370" s="182" t="s">
        <v>67</v>
      </c>
      <c r="D370" s="682"/>
      <c r="H370" s="707"/>
      <c r="N370" s="782"/>
      <c r="O370" s="651">
        <f>MIN(O369,$D$359)</f>
        <v>0</v>
      </c>
      <c r="P370" s="201">
        <f t="shared" ref="P370:X370" si="279">MIN(P369,$D$359)</f>
        <v>0</v>
      </c>
      <c r="Q370" s="201">
        <f t="shared" si="279"/>
        <v>0</v>
      </c>
      <c r="R370" s="201">
        <f t="shared" si="279"/>
        <v>0</v>
      </c>
      <c r="S370" s="201">
        <f t="shared" si="279"/>
        <v>5.8399218715391488</v>
      </c>
      <c r="T370" s="201">
        <f t="shared" si="279"/>
        <v>0</v>
      </c>
      <c r="U370" s="201">
        <f t="shared" si="279"/>
        <v>0</v>
      </c>
      <c r="V370" s="201">
        <f t="shared" si="279"/>
        <v>0</v>
      </c>
      <c r="W370" s="201">
        <f t="shared" si="279"/>
        <v>0</v>
      </c>
      <c r="X370" s="201">
        <f t="shared" si="279"/>
        <v>0</v>
      </c>
    </row>
    <row r="371" spans="1:24" outlineLevel="1">
      <c r="B371" s="269"/>
    </row>
    <row r="372" spans="1:24" s="213" customFormat="1" outlineLevel="1">
      <c r="B372" s="269" t="s">
        <v>780</v>
      </c>
      <c r="C372" s="211" t="s">
        <v>67</v>
      </c>
      <c r="H372" s="624"/>
      <c r="N372" s="739"/>
      <c r="O372" s="626">
        <f>+N375</f>
        <v>0</v>
      </c>
      <c r="P372" s="219">
        <f t="shared" ref="P372:X372" si="280">+O375</f>
        <v>5.8399218715391488</v>
      </c>
      <c r="Q372" s="219">
        <f t="shared" si="280"/>
        <v>5.8399218715391488</v>
      </c>
      <c r="R372" s="219">
        <f t="shared" si="280"/>
        <v>5.8399218715391488</v>
      </c>
      <c r="S372" s="219">
        <f t="shared" si="280"/>
        <v>5.8399218715391488</v>
      </c>
      <c r="T372" s="219">
        <f t="shared" si="280"/>
        <v>0</v>
      </c>
      <c r="U372" s="219">
        <f t="shared" si="280"/>
        <v>0</v>
      </c>
      <c r="V372" s="219">
        <f t="shared" si="280"/>
        <v>0</v>
      </c>
      <c r="W372" s="219">
        <f t="shared" si="280"/>
        <v>0</v>
      </c>
      <c r="X372" s="219">
        <f t="shared" si="280"/>
        <v>0</v>
      </c>
    </row>
    <row r="373" spans="1:24" outlineLevel="1">
      <c r="B373" s="184" t="s">
        <v>186</v>
      </c>
      <c r="C373" s="182" t="s">
        <v>67</v>
      </c>
      <c r="O373" s="651">
        <f>+D359</f>
        <v>5.8399218715391488</v>
      </c>
      <c r="P373" s="201"/>
      <c r="Q373" s="201"/>
      <c r="R373" s="201"/>
      <c r="S373" s="201"/>
      <c r="T373" s="201"/>
      <c r="U373" s="201"/>
      <c r="V373" s="201"/>
      <c r="W373" s="201"/>
      <c r="X373" s="201"/>
    </row>
    <row r="374" spans="1:24" outlineLevel="1">
      <c r="B374" s="216" t="s">
        <v>187</v>
      </c>
      <c r="C374" s="208" t="s">
        <v>67</v>
      </c>
      <c r="D374" s="292"/>
      <c r="E374" s="292"/>
      <c r="F374" s="292"/>
      <c r="G374" s="292"/>
      <c r="H374" s="631"/>
      <c r="I374" s="292"/>
      <c r="J374" s="292"/>
      <c r="K374" s="292"/>
      <c r="L374" s="292"/>
      <c r="M374" s="292"/>
      <c r="N374" s="649"/>
      <c r="O374" s="632">
        <f>-MIN(SUM(O372:O373),O370)</f>
        <v>0</v>
      </c>
      <c r="P374" s="294">
        <f t="shared" ref="P374:X374" si="281">-MIN(SUM(P372:P373),P370)</f>
        <v>0</v>
      </c>
      <c r="Q374" s="294">
        <f t="shared" si="281"/>
        <v>0</v>
      </c>
      <c r="R374" s="294">
        <f t="shared" si="281"/>
        <v>0</v>
      </c>
      <c r="S374" s="294">
        <f t="shared" si="281"/>
        <v>-5.8399218715391488</v>
      </c>
      <c r="T374" s="294">
        <f t="shared" si="281"/>
        <v>0</v>
      </c>
      <c r="U374" s="294">
        <f t="shared" si="281"/>
        <v>0</v>
      </c>
      <c r="V374" s="294">
        <f t="shared" si="281"/>
        <v>0</v>
      </c>
      <c r="W374" s="294">
        <f t="shared" si="281"/>
        <v>0</v>
      </c>
      <c r="X374" s="294">
        <f t="shared" si="281"/>
        <v>0</v>
      </c>
    </row>
    <row r="375" spans="1:24" s="213" customFormat="1" outlineLevel="1">
      <c r="B375" s="269" t="s">
        <v>781</v>
      </c>
      <c r="C375" s="211" t="s">
        <v>67</v>
      </c>
      <c r="H375" s="624"/>
      <c r="N375" s="739"/>
      <c r="O375" s="626">
        <f>+SUM(O372:O374)</f>
        <v>5.8399218715391488</v>
      </c>
      <c r="P375" s="219">
        <f t="shared" ref="P375" si="282">+SUM(P372:P374)</f>
        <v>5.8399218715391488</v>
      </c>
      <c r="Q375" s="219">
        <f t="shared" ref="Q375" si="283">+SUM(Q372:Q374)</f>
        <v>5.8399218715391488</v>
      </c>
      <c r="R375" s="219">
        <f t="shared" ref="R375" si="284">+SUM(R372:R374)</f>
        <v>5.8399218715391488</v>
      </c>
      <c r="S375" s="219">
        <f t="shared" ref="S375" si="285">+SUM(S372:S374)</f>
        <v>0</v>
      </c>
      <c r="T375" s="219">
        <f t="shared" ref="T375" si="286">+SUM(T372:T374)</f>
        <v>0</v>
      </c>
      <c r="U375" s="219">
        <f t="shared" ref="U375" si="287">+SUM(U372:U374)</f>
        <v>0</v>
      </c>
      <c r="V375" s="219">
        <f t="shared" ref="V375" si="288">+SUM(V372:V374)</f>
        <v>0</v>
      </c>
      <c r="W375" s="219">
        <f t="shared" ref="W375" si="289">+SUM(W372:W374)</f>
        <v>0</v>
      </c>
      <c r="X375" s="219">
        <f t="shared" ref="X375" si="290">+SUM(X372:X374)</f>
        <v>0</v>
      </c>
    </row>
    <row r="376" spans="1:24" outlineLevel="1">
      <c r="B376" s="269"/>
    </row>
    <row r="377" spans="1:24" s="419" customFormat="1" outlineLevel="1">
      <c r="B377" s="269" t="s">
        <v>775</v>
      </c>
      <c r="C377" s="211" t="s">
        <v>67</v>
      </c>
      <c r="D377" s="682"/>
      <c r="G377" s="180"/>
      <c r="H377" s="575"/>
      <c r="I377" s="180"/>
      <c r="J377" s="180"/>
      <c r="K377" s="180"/>
      <c r="L377" s="180"/>
      <c r="M377" s="180"/>
      <c r="N377" s="576"/>
      <c r="O377" s="651">
        <f>O369+O374</f>
        <v>0</v>
      </c>
      <c r="P377" s="219">
        <f t="shared" ref="P377:X377" si="291">P369+P374</f>
        <v>0</v>
      </c>
      <c r="Q377" s="219">
        <f t="shared" si="291"/>
        <v>0</v>
      </c>
      <c r="R377" s="219">
        <f t="shared" si="291"/>
        <v>0</v>
      </c>
      <c r="S377" s="219">
        <f t="shared" si="291"/>
        <v>80.055937313836907</v>
      </c>
      <c r="T377" s="219">
        <f t="shared" si="291"/>
        <v>0</v>
      </c>
      <c r="U377" s="219">
        <f t="shared" si="291"/>
        <v>0</v>
      </c>
      <c r="V377" s="219">
        <f t="shared" si="291"/>
        <v>0</v>
      </c>
      <c r="W377" s="219">
        <f t="shared" si="291"/>
        <v>0</v>
      </c>
      <c r="X377" s="219">
        <f t="shared" si="291"/>
        <v>0</v>
      </c>
    </row>
    <row r="378" spans="1:24" outlineLevel="1">
      <c r="B378" s="269"/>
    </row>
    <row r="379" spans="1:24" s="213" customFormat="1" outlineLevel="1">
      <c r="A379" s="180" t="s">
        <v>24</v>
      </c>
      <c r="B379" s="269" t="s">
        <v>760</v>
      </c>
      <c r="C379" s="783"/>
      <c r="H379" s="624"/>
      <c r="N379" s="739"/>
      <c r="O379" s="739"/>
    </row>
    <row r="380" spans="1:24" s="213" customFormat="1" outlineLevel="1">
      <c r="B380" s="184" t="s">
        <v>771</v>
      </c>
      <c r="C380" s="182" t="s">
        <v>67</v>
      </c>
      <c r="D380" s="201">
        <f>-D351</f>
        <v>-41.713727653851059</v>
      </c>
      <c r="H380" s="624"/>
      <c r="N380" s="739"/>
      <c r="O380" s="626"/>
    </row>
    <row r="381" spans="1:24" s="213" customFormat="1" outlineLevel="1">
      <c r="B381" s="216" t="s">
        <v>783</v>
      </c>
      <c r="C381" s="208" t="s">
        <v>67</v>
      </c>
      <c r="D381" s="741">
        <f>+D357</f>
        <v>58.399218715391477</v>
      </c>
      <c r="H381" s="624"/>
      <c r="N381" s="739"/>
      <c r="O381" s="626"/>
    </row>
    <row r="382" spans="1:24" s="213" customFormat="1" outlineLevel="1">
      <c r="B382" s="269" t="s">
        <v>765</v>
      </c>
      <c r="C382" s="211" t="s">
        <v>67</v>
      </c>
      <c r="D382" s="219">
        <f>+SUM(D380:D381)</f>
        <v>16.685491061540418</v>
      </c>
      <c r="E382" s="784"/>
      <c r="H382" s="624"/>
      <c r="N382" s="739"/>
      <c r="O382" s="626"/>
    </row>
    <row r="383" spans="1:24" s="213" customFormat="1" outlineLevel="1">
      <c r="B383" s="216" t="s">
        <v>788</v>
      </c>
      <c r="C383" s="208" t="s">
        <v>784</v>
      </c>
      <c r="D383" s="785">
        <f>Control!D99</f>
        <v>0.2</v>
      </c>
      <c r="E383" s="219"/>
      <c r="H383" s="624"/>
      <c r="N383" s="739"/>
      <c r="O383" s="739"/>
    </row>
    <row r="384" spans="1:24" s="213" customFormat="1" outlineLevel="1">
      <c r="B384" s="269" t="s">
        <v>788</v>
      </c>
      <c r="C384" s="211" t="s">
        <v>67</v>
      </c>
      <c r="D384" s="784">
        <f>+D382/(1-D383)*D383</f>
        <v>4.1713727653851045</v>
      </c>
      <c r="E384" s="219"/>
      <c r="F384" s="226"/>
      <c r="H384" s="624"/>
      <c r="N384" s="739"/>
      <c r="O384" s="739"/>
    </row>
    <row r="385" spans="2:24" s="213" customFormat="1" outlineLevel="1">
      <c r="B385" s="269"/>
      <c r="C385" s="783"/>
      <c r="H385" s="624"/>
      <c r="N385" s="739"/>
      <c r="O385" s="739"/>
    </row>
    <row r="386" spans="2:24" s="213" customFormat="1" outlineLevel="1">
      <c r="B386" s="269" t="str">
        <f>+B377</f>
        <v>Cash Flow Available for Step 2</v>
      </c>
      <c r="C386" s="211" t="s">
        <v>67</v>
      </c>
      <c r="D386" s="219">
        <f>+D382/(0.8)</f>
        <v>20.856863826925522</v>
      </c>
      <c r="E386" s="219"/>
      <c r="H386" s="624"/>
      <c r="N386" s="739"/>
      <c r="O386" s="626">
        <f>+O377</f>
        <v>0</v>
      </c>
      <c r="P386" s="219">
        <f t="shared" ref="P386:X386" si="292">+P377</f>
        <v>0</v>
      </c>
      <c r="Q386" s="219">
        <f t="shared" si="292"/>
        <v>0</v>
      </c>
      <c r="R386" s="219">
        <f t="shared" si="292"/>
        <v>0</v>
      </c>
      <c r="S386" s="219">
        <f t="shared" si="292"/>
        <v>80.055937313836907</v>
      </c>
      <c r="T386" s="219">
        <f t="shared" si="292"/>
        <v>0</v>
      </c>
      <c r="U386" s="219">
        <f t="shared" si="292"/>
        <v>0</v>
      </c>
      <c r="V386" s="219">
        <f t="shared" si="292"/>
        <v>0</v>
      </c>
      <c r="W386" s="219">
        <f t="shared" si="292"/>
        <v>0</v>
      </c>
      <c r="X386" s="219">
        <f t="shared" si="292"/>
        <v>0</v>
      </c>
    </row>
    <row r="387" spans="2:24" s="213" customFormat="1" outlineLevel="1">
      <c r="B387" s="184" t="s">
        <v>853</v>
      </c>
      <c r="C387" s="182" t="s">
        <v>67</v>
      </c>
      <c r="H387" s="624"/>
      <c r="N387" s="739"/>
      <c r="O387" s="651">
        <f>+MIN(O386,$D$384)</f>
        <v>0</v>
      </c>
      <c r="P387" s="201">
        <f t="shared" ref="P387:X387" si="293">+MIN(P386,$D$384)</f>
        <v>0</v>
      </c>
      <c r="Q387" s="201">
        <f t="shared" si="293"/>
        <v>0</v>
      </c>
      <c r="R387" s="201">
        <f t="shared" si="293"/>
        <v>0</v>
      </c>
      <c r="S387" s="201">
        <f t="shared" si="293"/>
        <v>4.1713727653851045</v>
      </c>
      <c r="T387" s="201">
        <f t="shared" si="293"/>
        <v>0</v>
      </c>
      <c r="U387" s="201">
        <f t="shared" si="293"/>
        <v>0</v>
      </c>
      <c r="V387" s="201">
        <f t="shared" si="293"/>
        <v>0</v>
      </c>
      <c r="W387" s="201">
        <f t="shared" si="293"/>
        <v>0</v>
      </c>
      <c r="X387" s="201">
        <f t="shared" si="293"/>
        <v>0</v>
      </c>
    </row>
    <row r="388" spans="2:24" s="213" customFormat="1" outlineLevel="1">
      <c r="B388" s="269"/>
      <c r="C388" s="783"/>
      <c r="H388" s="624"/>
      <c r="N388" s="739"/>
      <c r="O388" s="739"/>
    </row>
    <row r="389" spans="2:24" s="213" customFormat="1" outlineLevel="1">
      <c r="B389" s="269" t="s">
        <v>789</v>
      </c>
      <c r="C389" s="211" t="s">
        <v>67</v>
      </c>
      <c r="H389" s="624"/>
      <c r="N389" s="739"/>
      <c r="O389" s="626">
        <f>+N392</f>
        <v>0</v>
      </c>
      <c r="P389" s="219">
        <f t="shared" ref="P389:X389" si="294">+O392</f>
        <v>4.1713727653851045</v>
      </c>
      <c r="Q389" s="219">
        <f t="shared" si="294"/>
        <v>4.1713727653851045</v>
      </c>
      <c r="R389" s="219">
        <f t="shared" si="294"/>
        <v>4.1713727653851045</v>
      </c>
      <c r="S389" s="219">
        <f t="shared" si="294"/>
        <v>4.1713727653851045</v>
      </c>
      <c r="T389" s="219">
        <f t="shared" si="294"/>
        <v>0</v>
      </c>
      <c r="U389" s="219">
        <f t="shared" si="294"/>
        <v>0</v>
      </c>
      <c r="V389" s="219">
        <f t="shared" si="294"/>
        <v>0</v>
      </c>
      <c r="W389" s="219">
        <f t="shared" si="294"/>
        <v>0</v>
      </c>
      <c r="X389" s="219">
        <f t="shared" si="294"/>
        <v>0</v>
      </c>
    </row>
    <row r="390" spans="2:24" s="213" customFormat="1" outlineLevel="1">
      <c r="B390" s="184" t="s">
        <v>186</v>
      </c>
      <c r="C390" s="182" t="s">
        <v>67</v>
      </c>
      <c r="D390" s="180"/>
      <c r="E390" s="180"/>
      <c r="F390" s="180"/>
      <c r="G390" s="180"/>
      <c r="H390" s="575"/>
      <c r="I390" s="180"/>
      <c r="J390" s="180"/>
      <c r="K390" s="180"/>
      <c r="L390" s="180"/>
      <c r="M390" s="180"/>
      <c r="N390" s="576"/>
      <c r="O390" s="651">
        <f>+D384</f>
        <v>4.1713727653851045</v>
      </c>
      <c r="P390" s="201"/>
      <c r="Q390" s="201"/>
      <c r="R390" s="201"/>
      <c r="S390" s="201"/>
      <c r="T390" s="201"/>
      <c r="U390" s="201"/>
      <c r="V390" s="201"/>
      <c r="W390" s="201"/>
      <c r="X390" s="201"/>
    </row>
    <row r="391" spans="2:24" s="213" customFormat="1" outlineLevel="1">
      <c r="B391" s="216" t="s">
        <v>187</v>
      </c>
      <c r="C391" s="208" t="s">
        <v>67</v>
      </c>
      <c r="D391" s="292"/>
      <c r="E391" s="292"/>
      <c r="F391" s="292"/>
      <c r="G391" s="292"/>
      <c r="H391" s="631"/>
      <c r="I391" s="292"/>
      <c r="J391" s="292"/>
      <c r="K391" s="292"/>
      <c r="L391" s="292"/>
      <c r="M391" s="292"/>
      <c r="N391" s="649"/>
      <c r="O391" s="632">
        <f>-MIN(SUM(O389:O390),O387)</f>
        <v>0</v>
      </c>
      <c r="P391" s="294">
        <f t="shared" ref="P391:X391" si="295">-MIN(SUM(P389:P390),P387)</f>
        <v>0</v>
      </c>
      <c r="Q391" s="294">
        <f t="shared" si="295"/>
        <v>0</v>
      </c>
      <c r="R391" s="294">
        <f t="shared" si="295"/>
        <v>0</v>
      </c>
      <c r="S391" s="294">
        <f t="shared" si="295"/>
        <v>-4.1713727653851045</v>
      </c>
      <c r="T391" s="294">
        <f t="shared" si="295"/>
        <v>0</v>
      </c>
      <c r="U391" s="294">
        <f t="shared" si="295"/>
        <v>0</v>
      </c>
      <c r="V391" s="294">
        <f t="shared" si="295"/>
        <v>0</v>
      </c>
      <c r="W391" s="294">
        <f t="shared" si="295"/>
        <v>0</v>
      </c>
      <c r="X391" s="294">
        <f t="shared" si="295"/>
        <v>0</v>
      </c>
    </row>
    <row r="392" spans="2:24" s="213" customFormat="1" outlineLevel="1">
      <c r="B392" s="269" t="s">
        <v>790</v>
      </c>
      <c r="C392" s="211" t="s">
        <v>67</v>
      </c>
      <c r="H392" s="624"/>
      <c r="N392" s="739"/>
      <c r="O392" s="626">
        <f>+SUM(O389:O391)</f>
        <v>4.1713727653851045</v>
      </c>
      <c r="P392" s="219">
        <f t="shared" ref="P392:X392" si="296">+SUM(P389:P391)</f>
        <v>4.1713727653851045</v>
      </c>
      <c r="Q392" s="219">
        <f t="shared" si="296"/>
        <v>4.1713727653851045</v>
      </c>
      <c r="R392" s="219">
        <f t="shared" si="296"/>
        <v>4.1713727653851045</v>
      </c>
      <c r="S392" s="219">
        <f t="shared" si="296"/>
        <v>0</v>
      </c>
      <c r="T392" s="219">
        <f t="shared" si="296"/>
        <v>0</v>
      </c>
      <c r="U392" s="219">
        <f t="shared" si="296"/>
        <v>0</v>
      </c>
      <c r="V392" s="219">
        <f t="shared" si="296"/>
        <v>0</v>
      </c>
      <c r="W392" s="219">
        <f t="shared" si="296"/>
        <v>0</v>
      </c>
      <c r="X392" s="219">
        <f t="shared" si="296"/>
        <v>0</v>
      </c>
    </row>
    <row r="393" spans="2:24" s="213" customFormat="1" outlineLevel="1">
      <c r="B393" s="269"/>
      <c r="C393" s="783"/>
      <c r="H393" s="624"/>
      <c r="N393" s="739"/>
      <c r="O393" s="739"/>
    </row>
    <row r="394" spans="2:24" s="213" customFormat="1" outlineLevel="1">
      <c r="B394" s="269" t="s">
        <v>791</v>
      </c>
      <c r="C394" s="211" t="s">
        <v>67</v>
      </c>
      <c r="D394" s="219">
        <f>+SUM(O394:X394)</f>
        <v>75.884564548451806</v>
      </c>
      <c r="H394" s="624"/>
      <c r="N394" s="739"/>
      <c r="O394" s="786">
        <f>+MAX(0,O386+O391)</f>
        <v>0</v>
      </c>
      <c r="P394" s="219">
        <f t="shared" ref="P394:X394" si="297">+MAX(0,P386+P391)</f>
        <v>0</v>
      </c>
      <c r="Q394" s="219">
        <f t="shared" si="297"/>
        <v>0</v>
      </c>
      <c r="R394" s="219">
        <f t="shared" si="297"/>
        <v>0</v>
      </c>
      <c r="S394" s="219">
        <f t="shared" si="297"/>
        <v>75.884564548451806</v>
      </c>
      <c r="T394" s="219">
        <f t="shared" si="297"/>
        <v>0</v>
      </c>
      <c r="U394" s="219">
        <f t="shared" si="297"/>
        <v>0</v>
      </c>
      <c r="V394" s="219">
        <f t="shared" si="297"/>
        <v>0</v>
      </c>
      <c r="W394" s="219">
        <f t="shared" si="297"/>
        <v>0</v>
      </c>
      <c r="X394" s="219">
        <f t="shared" si="297"/>
        <v>0</v>
      </c>
    </row>
    <row r="395" spans="2:24" s="213" customFormat="1" outlineLevel="1">
      <c r="B395" s="269"/>
      <c r="C395" s="783"/>
      <c r="H395" s="624"/>
      <c r="N395" s="739"/>
      <c r="O395" s="739"/>
    </row>
    <row r="396" spans="2:24" s="213" customFormat="1" outlineLevel="1">
      <c r="B396" s="269" t="s">
        <v>785</v>
      </c>
      <c r="C396" s="783"/>
      <c r="H396" s="624"/>
      <c r="N396" s="739"/>
      <c r="O396" s="739"/>
    </row>
    <row r="397" spans="2:24" s="213" customFormat="1" outlineLevel="1">
      <c r="B397" s="184" t="str">
        <f>+B380</f>
        <v>Invested Capital</v>
      </c>
      <c r="C397" s="182" t="s">
        <v>67</v>
      </c>
      <c r="D397" s="201">
        <f>-D380</f>
        <v>41.713727653851059</v>
      </c>
      <c r="H397" s="624"/>
      <c r="N397" s="739"/>
      <c r="O397" s="739"/>
    </row>
    <row r="398" spans="2:24" s="213" customFormat="1" outlineLevel="1">
      <c r="B398" s="184" t="str">
        <f>+B382</f>
        <v>Prefered Return</v>
      </c>
      <c r="C398" s="182" t="s">
        <v>67</v>
      </c>
      <c r="D398" s="201">
        <f>+D382</f>
        <v>16.685491061540418</v>
      </c>
      <c r="H398" s="624"/>
      <c r="N398" s="739"/>
      <c r="O398" s="739"/>
    </row>
    <row r="399" spans="2:24" s="213" customFormat="1" outlineLevel="1">
      <c r="B399" s="216" t="str">
        <f>+B383</f>
        <v>GP Catch-Up</v>
      </c>
      <c r="C399" s="208" t="s">
        <v>67</v>
      </c>
      <c r="D399" s="294">
        <f>-SUM(O391:X391)</f>
        <v>4.1713727653851045</v>
      </c>
      <c r="H399" s="624"/>
      <c r="N399" s="739"/>
      <c r="O399" s="739"/>
    </row>
    <row r="400" spans="2:24" s="213" customFormat="1" outlineLevel="1">
      <c r="B400" s="269" t="str">
        <f>+B396</f>
        <v>Total distributions until Step 2</v>
      </c>
      <c r="C400" s="211" t="s">
        <v>67</v>
      </c>
      <c r="D400" s="219">
        <f>+SUM(D397:D399)</f>
        <v>62.570591480776585</v>
      </c>
      <c r="H400" s="624"/>
      <c r="N400" s="739"/>
      <c r="O400" s="739"/>
    </row>
    <row r="401" spans="1:15" s="213" customFormat="1" outlineLevel="1">
      <c r="B401" s="269"/>
      <c r="C401" s="211"/>
      <c r="D401" s="219"/>
      <c r="E401" s="787" t="s">
        <v>7</v>
      </c>
      <c r="H401" s="624"/>
      <c r="N401" s="739"/>
      <c r="O401" s="739"/>
    </row>
    <row r="402" spans="1:15" s="213" customFormat="1" outlineLevel="1">
      <c r="B402" s="401" t="s">
        <v>786</v>
      </c>
      <c r="C402" s="182" t="s">
        <v>14</v>
      </c>
      <c r="D402" s="243">
        <f>+D399/(D399+D398)</f>
        <v>0.2</v>
      </c>
      <c r="E402" s="788">
        <f>+D402-D383</f>
        <v>0</v>
      </c>
      <c r="H402" s="624"/>
      <c r="N402" s="739"/>
      <c r="O402" s="739"/>
    </row>
    <row r="403" spans="1:15" s="213" customFormat="1" outlineLevel="1">
      <c r="B403" s="401" t="s">
        <v>787</v>
      </c>
      <c r="C403" s="182" t="s">
        <v>14</v>
      </c>
      <c r="D403" s="243">
        <f>+D398/(D399+D398)</f>
        <v>0.8</v>
      </c>
      <c r="H403" s="624"/>
      <c r="N403" s="739"/>
      <c r="O403" s="739"/>
    </row>
    <row r="404" spans="1:15" s="213" customFormat="1" outlineLevel="1">
      <c r="B404" s="269"/>
      <c r="C404" s="783"/>
      <c r="H404" s="624"/>
      <c r="N404" s="739"/>
      <c r="O404" s="739"/>
    </row>
    <row r="405" spans="1:15" outlineLevel="1">
      <c r="A405" s="180" t="s">
        <v>24</v>
      </c>
      <c r="B405" s="269" t="str">
        <f>"Step 3: LP / GP Split up to "&amp;D407&amp;"x tier"</f>
        <v>Step 3: LP / GP Split up to 2.5x tier</v>
      </c>
    </row>
    <row r="406" spans="1:15" outlineLevel="1">
      <c r="B406" s="184" t="str">
        <f>+B380</f>
        <v>Invested Capital</v>
      </c>
      <c r="C406" s="182" t="str">
        <f>+C380</f>
        <v>USD M</v>
      </c>
      <c r="D406" s="201">
        <f>-D380</f>
        <v>41.713727653851059</v>
      </c>
    </row>
    <row r="407" spans="1:15" outlineLevel="1">
      <c r="B407" s="216" t="s">
        <v>792</v>
      </c>
      <c r="C407" s="208" t="s">
        <v>113</v>
      </c>
      <c r="D407" s="209">
        <f>Control!D101</f>
        <v>2.5</v>
      </c>
    </row>
    <row r="408" spans="1:15" outlineLevel="1">
      <c r="B408" s="269" t="s">
        <v>854</v>
      </c>
      <c r="C408" s="211" t="str">
        <f>+C382</f>
        <v>USD M</v>
      </c>
      <c r="D408" s="789">
        <f>+D406*D407</f>
        <v>104.28431913462765</v>
      </c>
    </row>
    <row r="409" spans="1:15" outlineLevel="1">
      <c r="B409" s="216" t="str">
        <f>+B381</f>
        <v>Invested Capital + Prefered Return</v>
      </c>
      <c r="C409" s="208" t="s">
        <v>67</v>
      </c>
      <c r="D409" s="294">
        <f>-D381</f>
        <v>-58.399218715391477</v>
      </c>
    </row>
    <row r="410" spans="1:15" outlineLevel="1">
      <c r="B410" s="269" t="s">
        <v>793</v>
      </c>
      <c r="C410" s="211" t="str">
        <f>+C384</f>
        <v>USD M</v>
      </c>
      <c r="D410" s="789">
        <f>+D408+D409</f>
        <v>45.885100419236174</v>
      </c>
    </row>
    <row r="411" spans="1:15" outlineLevel="1">
      <c r="B411" s="401" t="s">
        <v>801</v>
      </c>
      <c r="C411" s="182" t="s">
        <v>67</v>
      </c>
      <c r="D411" s="790">
        <f>+$D410*$D$345</f>
        <v>41.296590377312555</v>
      </c>
    </row>
    <row r="412" spans="1:15" outlineLevel="1">
      <c r="B412" s="401" t="s">
        <v>802</v>
      </c>
      <c r="C412" s="182" t="s">
        <v>67</v>
      </c>
      <c r="D412" s="790">
        <f>+$D$410*D346</f>
        <v>4.5885100419236178</v>
      </c>
      <c r="E412" s="186"/>
    </row>
    <row r="413" spans="1:15" outlineLevel="1">
      <c r="B413" s="269"/>
      <c r="C413" s="211"/>
      <c r="D413" s="789"/>
    </row>
    <row r="414" spans="1:15" outlineLevel="1">
      <c r="B414" s="269" t="s">
        <v>803</v>
      </c>
      <c r="C414" s="211"/>
      <c r="D414" s="789"/>
    </row>
    <row r="415" spans="1:15" outlineLevel="1">
      <c r="B415" s="184" t="s">
        <v>795</v>
      </c>
      <c r="C415" s="182" t="s">
        <v>14</v>
      </c>
      <c r="D415" s="185">
        <f>Control!D102</f>
        <v>0.8</v>
      </c>
    </row>
    <row r="416" spans="1:15" outlineLevel="1">
      <c r="B416" s="216" t="s">
        <v>794</v>
      </c>
      <c r="C416" s="208" t="s">
        <v>14</v>
      </c>
      <c r="D416" s="446">
        <f>1-D415</f>
        <v>0.19999999999999996</v>
      </c>
    </row>
    <row r="417" spans="2:24" s="213" customFormat="1" outlineLevel="1">
      <c r="B417" s="269" t="s">
        <v>796</v>
      </c>
      <c r="C417" s="211" t="str">
        <f>+C390</f>
        <v>USD M</v>
      </c>
      <c r="D417" s="219">
        <f>+D410/D415*D416</f>
        <v>11.47127510480904</v>
      </c>
      <c r="H417" s="624"/>
      <c r="N417" s="739"/>
      <c r="O417" s="739"/>
    </row>
    <row r="418" spans="2:24" outlineLevel="1">
      <c r="D418" s="482"/>
    </row>
    <row r="419" spans="2:24" outlineLevel="1">
      <c r="B419" s="184" t="s">
        <v>867</v>
      </c>
      <c r="C419" s="182" t="str">
        <f t="shared" ref="C419" si="298">+C392</f>
        <v>USD M</v>
      </c>
      <c r="D419" s="201">
        <f>+D417+D410</f>
        <v>57.356375524045212</v>
      </c>
    </row>
    <row r="420" spans="2:24" outlineLevel="1">
      <c r="B420" s="216" t="s">
        <v>868</v>
      </c>
      <c r="C420" s="208" t="s">
        <v>67</v>
      </c>
      <c r="D420" s="294">
        <f>+D426</f>
        <v>75.884564548451806</v>
      </c>
    </row>
    <row r="421" spans="2:24" s="213" customFormat="1" outlineLevel="1">
      <c r="B421" s="213" t="s">
        <v>865</v>
      </c>
      <c r="C421" s="211" t="s">
        <v>866</v>
      </c>
      <c r="D421" s="791" t="str">
        <f>+IF(D420&gt;D419,"Yes","No")</f>
        <v>Yes</v>
      </c>
      <c r="H421" s="624"/>
      <c r="N421" s="739"/>
      <c r="O421" s="739"/>
    </row>
    <row r="422" spans="2:24" outlineLevel="1"/>
    <row r="423" spans="2:24" outlineLevel="1">
      <c r="B423" s="263" t="s">
        <v>869</v>
      </c>
      <c r="C423" s="182" t="s">
        <v>67</v>
      </c>
      <c r="D423" s="201">
        <f>IF(D421="No",D420*D416,0)</f>
        <v>0</v>
      </c>
    </row>
    <row r="424" spans="2:24" outlineLevel="1">
      <c r="B424" s="263" t="s">
        <v>870</v>
      </c>
      <c r="C424" s="182" t="s">
        <v>67</v>
      </c>
      <c r="D424" s="201">
        <f>IF(D421="No",D420-D423,0)</f>
        <v>0</v>
      </c>
    </row>
    <row r="425" spans="2:24" outlineLevel="1"/>
    <row r="426" spans="2:24" s="213" customFormat="1" outlineLevel="1">
      <c r="B426" s="213" t="str">
        <f>+B394</f>
        <v>Cash Flow Available for Step 3</v>
      </c>
      <c r="C426" s="211" t="str">
        <f>+C394</f>
        <v>USD M</v>
      </c>
      <c r="D426" s="219">
        <f>+SUM(O426:X426)</f>
        <v>75.884564548451806</v>
      </c>
      <c r="H426" s="624">
        <f>+H394</f>
        <v>0</v>
      </c>
      <c r="I426" s="213">
        <f>+I394</f>
        <v>0</v>
      </c>
      <c r="J426" s="213">
        <f>+J394</f>
        <v>0</v>
      </c>
      <c r="K426" s="213">
        <f>+K394</f>
        <v>0</v>
      </c>
      <c r="M426" s="213">
        <f>+M394</f>
        <v>0</v>
      </c>
      <c r="N426" s="739"/>
      <c r="O426" s="626">
        <f t="shared" ref="O426:X426" si="299">+O394</f>
        <v>0</v>
      </c>
      <c r="P426" s="219">
        <f t="shared" si="299"/>
        <v>0</v>
      </c>
      <c r="Q426" s="219">
        <f t="shared" si="299"/>
        <v>0</v>
      </c>
      <c r="R426" s="219">
        <f t="shared" si="299"/>
        <v>0</v>
      </c>
      <c r="S426" s="219">
        <f t="shared" si="299"/>
        <v>75.884564548451806</v>
      </c>
      <c r="T426" s="219">
        <f t="shared" si="299"/>
        <v>0</v>
      </c>
      <c r="U426" s="219">
        <f t="shared" si="299"/>
        <v>0</v>
      </c>
      <c r="V426" s="219">
        <f t="shared" si="299"/>
        <v>0</v>
      </c>
      <c r="W426" s="219">
        <f t="shared" si="299"/>
        <v>0</v>
      </c>
      <c r="X426" s="219">
        <f t="shared" si="299"/>
        <v>0</v>
      </c>
    </row>
    <row r="427" spans="2:24" s="213" customFormat="1" outlineLevel="1">
      <c r="B427" s="184" t="s">
        <v>804</v>
      </c>
      <c r="C427" s="182" t="s">
        <v>67</v>
      </c>
      <c r="D427" s="790">
        <f>IF(D421="No",D424,D410)</f>
        <v>45.885100419236174</v>
      </c>
      <c r="E427" s="180"/>
      <c r="F427" s="180"/>
      <c r="G427" s="180"/>
      <c r="H427" s="575"/>
      <c r="I427" s="180"/>
      <c r="J427" s="180"/>
      <c r="K427" s="180"/>
      <c r="L427" s="180"/>
      <c r="M427" s="180"/>
      <c r="N427" s="576"/>
      <c r="O427" s="651">
        <f>+MIN($D427,O426)</f>
        <v>0</v>
      </c>
      <c r="P427" s="201">
        <f t="shared" ref="P427:X427" si="300">+MIN($D427,P426)</f>
        <v>0</v>
      </c>
      <c r="Q427" s="201">
        <f t="shared" si="300"/>
        <v>0</v>
      </c>
      <c r="R427" s="201">
        <f t="shared" si="300"/>
        <v>0</v>
      </c>
      <c r="S427" s="201">
        <f t="shared" si="300"/>
        <v>45.885100419236174</v>
      </c>
      <c r="T427" s="201">
        <f t="shared" si="300"/>
        <v>0</v>
      </c>
      <c r="U427" s="201">
        <f t="shared" si="300"/>
        <v>0</v>
      </c>
      <c r="V427" s="201">
        <f t="shared" si="300"/>
        <v>0</v>
      </c>
      <c r="W427" s="201">
        <f t="shared" si="300"/>
        <v>0</v>
      </c>
      <c r="X427" s="201">
        <f t="shared" si="300"/>
        <v>0</v>
      </c>
    </row>
    <row r="428" spans="2:24" s="213" customFormat="1" outlineLevel="1">
      <c r="B428" s="401" t="s">
        <v>801</v>
      </c>
      <c r="C428" s="182" t="s">
        <v>67</v>
      </c>
      <c r="D428" s="792">
        <f>+$D$427*D345</f>
        <v>41.296590377312555</v>
      </c>
      <c r="E428" s="180"/>
      <c r="F428" s="180"/>
      <c r="G428" s="180"/>
      <c r="H428" s="575"/>
      <c r="I428" s="180"/>
      <c r="J428" s="180"/>
      <c r="K428" s="180"/>
      <c r="L428" s="180"/>
      <c r="M428" s="180"/>
      <c r="N428" s="576"/>
      <c r="O428" s="651"/>
      <c r="P428" s="201"/>
      <c r="Q428" s="201"/>
      <c r="R428" s="201"/>
      <c r="S428" s="201"/>
      <c r="T428" s="201"/>
      <c r="U428" s="201"/>
      <c r="V428" s="201"/>
      <c r="W428" s="201"/>
      <c r="X428" s="201"/>
    </row>
    <row r="429" spans="2:24" s="213" customFormat="1" outlineLevel="1">
      <c r="B429" s="401" t="s">
        <v>802</v>
      </c>
      <c r="C429" s="182" t="s">
        <v>67</v>
      </c>
      <c r="D429" s="792">
        <f>+$D$427*D346</f>
        <v>4.5885100419236178</v>
      </c>
      <c r="E429" s="180"/>
      <c r="F429" s="180"/>
      <c r="G429" s="180"/>
      <c r="H429" s="575"/>
      <c r="I429" s="180"/>
      <c r="J429" s="180"/>
      <c r="K429" s="180"/>
      <c r="L429" s="180"/>
      <c r="M429" s="180"/>
      <c r="N429" s="576"/>
      <c r="O429" s="651"/>
      <c r="P429" s="201"/>
      <c r="Q429" s="201"/>
      <c r="R429" s="201"/>
      <c r="S429" s="201"/>
      <c r="T429" s="201"/>
      <c r="U429" s="201"/>
      <c r="V429" s="201"/>
      <c r="W429" s="201"/>
      <c r="X429" s="201"/>
    </row>
    <row r="430" spans="2:24" outlineLevel="1"/>
    <row r="431" spans="2:24" s="213" customFormat="1" outlineLevel="1">
      <c r="B431" s="269" t="s">
        <v>798</v>
      </c>
      <c r="C431" s="211" t="s">
        <v>67</v>
      </c>
      <c r="H431" s="624"/>
      <c r="N431" s="739"/>
      <c r="O431" s="626">
        <f>+N434</f>
        <v>0</v>
      </c>
      <c r="P431" s="219">
        <f t="shared" ref="P431:X431" si="301">+O434</f>
        <v>41.296590377312555</v>
      </c>
      <c r="Q431" s="219">
        <f t="shared" si="301"/>
        <v>41.296590377312555</v>
      </c>
      <c r="R431" s="219">
        <f t="shared" si="301"/>
        <v>41.296590377312555</v>
      </c>
      <c r="S431" s="219">
        <f t="shared" si="301"/>
        <v>41.296590377312555</v>
      </c>
      <c r="T431" s="219">
        <f t="shared" si="301"/>
        <v>0</v>
      </c>
      <c r="U431" s="219">
        <f t="shared" si="301"/>
        <v>0</v>
      </c>
      <c r="V431" s="219">
        <f t="shared" si="301"/>
        <v>0</v>
      </c>
      <c r="W431" s="219">
        <f t="shared" si="301"/>
        <v>0</v>
      </c>
      <c r="X431" s="219">
        <f t="shared" si="301"/>
        <v>0</v>
      </c>
    </row>
    <row r="432" spans="2:24" outlineLevel="1">
      <c r="B432" s="184" t="s">
        <v>186</v>
      </c>
      <c r="C432" s="182" t="s">
        <v>67</v>
      </c>
      <c r="O432" s="651">
        <f>+IF(D421="No",D428,D411)</f>
        <v>41.296590377312555</v>
      </c>
      <c r="P432" s="201"/>
      <c r="Q432" s="201"/>
      <c r="R432" s="201"/>
      <c r="S432" s="201"/>
      <c r="T432" s="201"/>
      <c r="U432" s="201"/>
      <c r="V432" s="201"/>
      <c r="W432" s="201"/>
      <c r="X432" s="201"/>
    </row>
    <row r="433" spans="2:24" outlineLevel="1">
      <c r="B433" s="216" t="s">
        <v>187</v>
      </c>
      <c r="C433" s="208" t="s">
        <v>67</v>
      </c>
      <c r="D433" s="294">
        <f>+SUM(O433:X433)</f>
        <v>-41.296590377312555</v>
      </c>
      <c r="E433" s="292"/>
      <c r="F433" s="292"/>
      <c r="G433" s="292"/>
      <c r="H433" s="631"/>
      <c r="I433" s="292"/>
      <c r="J433" s="292"/>
      <c r="K433" s="292"/>
      <c r="L433" s="292"/>
      <c r="M433" s="292"/>
      <c r="N433" s="649"/>
      <c r="O433" s="632">
        <f t="shared" ref="O433:X433" si="302">-MIN(SUM(O431:O432),O427)</f>
        <v>0</v>
      </c>
      <c r="P433" s="294">
        <f t="shared" si="302"/>
        <v>0</v>
      </c>
      <c r="Q433" s="294">
        <f t="shared" si="302"/>
        <v>0</v>
      </c>
      <c r="R433" s="294">
        <f t="shared" si="302"/>
        <v>0</v>
      </c>
      <c r="S433" s="294">
        <f t="shared" si="302"/>
        <v>-41.296590377312555</v>
      </c>
      <c r="T433" s="294">
        <f t="shared" si="302"/>
        <v>0</v>
      </c>
      <c r="U433" s="294">
        <f t="shared" si="302"/>
        <v>0</v>
      </c>
      <c r="V433" s="294">
        <f t="shared" si="302"/>
        <v>0</v>
      </c>
      <c r="W433" s="294">
        <f t="shared" si="302"/>
        <v>0</v>
      </c>
      <c r="X433" s="294">
        <f t="shared" si="302"/>
        <v>0</v>
      </c>
    </row>
    <row r="434" spans="2:24" s="213" customFormat="1" outlineLevel="1">
      <c r="B434" s="269" t="s">
        <v>797</v>
      </c>
      <c r="C434" s="211" t="s">
        <v>67</v>
      </c>
      <c r="H434" s="624"/>
      <c r="N434" s="739"/>
      <c r="O434" s="626">
        <f>+SUM(O431:O433)</f>
        <v>41.296590377312555</v>
      </c>
      <c r="P434" s="219">
        <f t="shared" ref="P434" si="303">+SUM(P431:P433)</f>
        <v>41.296590377312555</v>
      </c>
      <c r="Q434" s="219">
        <f t="shared" ref="Q434" si="304">+SUM(Q431:Q433)</f>
        <v>41.296590377312555</v>
      </c>
      <c r="R434" s="219">
        <f t="shared" ref="R434" si="305">+SUM(R431:R433)</f>
        <v>41.296590377312555</v>
      </c>
      <c r="S434" s="219">
        <f t="shared" ref="S434" si="306">+SUM(S431:S433)</f>
        <v>0</v>
      </c>
      <c r="T434" s="219">
        <f t="shared" ref="T434" si="307">+SUM(T431:T433)</f>
        <v>0</v>
      </c>
      <c r="U434" s="219">
        <f t="shared" ref="U434" si="308">+SUM(U431:U433)</f>
        <v>0</v>
      </c>
      <c r="V434" s="219">
        <f t="shared" ref="V434" si="309">+SUM(V431:V433)</f>
        <v>0</v>
      </c>
      <c r="W434" s="219">
        <f t="shared" ref="W434" si="310">+SUM(W431:W433)</f>
        <v>0</v>
      </c>
      <c r="X434" s="219">
        <f t="shared" ref="X434" si="311">+SUM(X431:X433)</f>
        <v>0</v>
      </c>
    </row>
    <row r="435" spans="2:24" outlineLevel="1">
      <c r="B435" s="184"/>
    </row>
    <row r="436" spans="2:24" s="213" customFormat="1" outlineLevel="1">
      <c r="B436" s="269" t="s">
        <v>800</v>
      </c>
      <c r="C436" s="211" t="s">
        <v>67</v>
      </c>
      <c r="H436" s="624"/>
      <c r="N436" s="739"/>
      <c r="O436" s="626">
        <f>+N439</f>
        <v>0</v>
      </c>
      <c r="P436" s="219">
        <f t="shared" ref="P436:X436" si="312">+O439</f>
        <v>4.5885100419236178</v>
      </c>
      <c r="Q436" s="219">
        <f t="shared" si="312"/>
        <v>4.5885100419236178</v>
      </c>
      <c r="R436" s="219">
        <f t="shared" si="312"/>
        <v>4.5885100419236178</v>
      </c>
      <c r="S436" s="219">
        <f t="shared" si="312"/>
        <v>4.5885100419236178</v>
      </c>
      <c r="T436" s="219">
        <f t="shared" si="312"/>
        <v>0</v>
      </c>
      <c r="U436" s="219">
        <f t="shared" si="312"/>
        <v>0</v>
      </c>
      <c r="V436" s="219">
        <f t="shared" si="312"/>
        <v>0</v>
      </c>
      <c r="W436" s="219">
        <f t="shared" si="312"/>
        <v>0</v>
      </c>
      <c r="X436" s="219">
        <f t="shared" si="312"/>
        <v>0</v>
      </c>
    </row>
    <row r="437" spans="2:24" outlineLevel="1">
      <c r="B437" s="184" t="s">
        <v>186</v>
      </c>
      <c r="C437" s="182" t="s">
        <v>67</v>
      </c>
      <c r="D437" s="201"/>
      <c r="O437" s="793">
        <f>IF(D421="No",D429,D412)</f>
        <v>4.5885100419236178</v>
      </c>
    </row>
    <row r="438" spans="2:24" outlineLevel="1">
      <c r="B438" s="216" t="s">
        <v>187</v>
      </c>
      <c r="C438" s="208" t="s">
        <v>67</v>
      </c>
      <c r="D438" s="294">
        <f>+SUM(O438:X438)</f>
        <v>-4.5885100419236178</v>
      </c>
      <c r="E438" s="292"/>
      <c r="F438" s="292"/>
      <c r="G438" s="292"/>
      <c r="H438" s="631"/>
      <c r="I438" s="292"/>
      <c r="J438" s="292"/>
      <c r="K438" s="292"/>
      <c r="L438" s="292"/>
      <c r="M438" s="292"/>
      <c r="N438" s="649"/>
      <c r="O438" s="632">
        <f t="shared" ref="O438:X438" si="313">-MIN(SUM(O436:O437),O427+O433)</f>
        <v>0</v>
      </c>
      <c r="P438" s="294">
        <f t="shared" si="313"/>
        <v>0</v>
      </c>
      <c r="Q438" s="294">
        <f t="shared" si="313"/>
        <v>0</v>
      </c>
      <c r="R438" s="294">
        <f t="shared" si="313"/>
        <v>0</v>
      </c>
      <c r="S438" s="294">
        <f t="shared" si="313"/>
        <v>-4.5885100419236178</v>
      </c>
      <c r="T438" s="294">
        <f t="shared" si="313"/>
        <v>0</v>
      </c>
      <c r="U438" s="294">
        <f t="shared" si="313"/>
        <v>0</v>
      </c>
      <c r="V438" s="294">
        <f t="shared" si="313"/>
        <v>0</v>
      </c>
      <c r="W438" s="294">
        <f t="shared" si="313"/>
        <v>0</v>
      </c>
      <c r="X438" s="294">
        <f t="shared" si="313"/>
        <v>0</v>
      </c>
    </row>
    <row r="439" spans="2:24" outlineLevel="1">
      <c r="B439" s="269" t="s">
        <v>799</v>
      </c>
      <c r="C439" s="211" t="s">
        <v>67</v>
      </c>
      <c r="O439" s="651">
        <f>+SUM(O436:O438)</f>
        <v>4.5885100419236178</v>
      </c>
      <c r="P439" s="201">
        <f t="shared" ref="P439:X439" si="314">+SUM(P436:P438)</f>
        <v>4.5885100419236178</v>
      </c>
      <c r="Q439" s="201">
        <f t="shared" si="314"/>
        <v>4.5885100419236178</v>
      </c>
      <c r="R439" s="201">
        <f t="shared" si="314"/>
        <v>4.5885100419236178</v>
      </c>
      <c r="S439" s="201">
        <f t="shared" si="314"/>
        <v>0</v>
      </c>
      <c r="T439" s="201">
        <f t="shared" si="314"/>
        <v>0</v>
      </c>
      <c r="U439" s="201">
        <f t="shared" si="314"/>
        <v>0</v>
      </c>
      <c r="V439" s="201">
        <f t="shared" si="314"/>
        <v>0</v>
      </c>
      <c r="W439" s="201">
        <f t="shared" si="314"/>
        <v>0</v>
      </c>
      <c r="X439" s="201">
        <f t="shared" si="314"/>
        <v>0</v>
      </c>
    </row>
    <row r="440" spans="2:24" outlineLevel="1"/>
    <row r="441" spans="2:24" s="213" customFormat="1" outlineLevel="1">
      <c r="B441" s="213" t="s">
        <v>808</v>
      </c>
      <c r="C441" s="211" t="s">
        <v>67</v>
      </c>
      <c r="D441" s="226"/>
      <c r="H441" s="624"/>
      <c r="N441" s="739"/>
      <c r="O441" s="794">
        <f>+O426+O433+O438</f>
        <v>0</v>
      </c>
      <c r="P441" s="789">
        <f t="shared" ref="P441:X441" si="315">+P426+P433+P438</f>
        <v>0</v>
      </c>
      <c r="Q441" s="789">
        <f t="shared" si="315"/>
        <v>0</v>
      </c>
      <c r="R441" s="789">
        <f t="shared" si="315"/>
        <v>0</v>
      </c>
      <c r="S441" s="789">
        <f t="shared" si="315"/>
        <v>29.999464129215632</v>
      </c>
      <c r="T441" s="789">
        <f t="shared" si="315"/>
        <v>0</v>
      </c>
      <c r="U441" s="789">
        <f t="shared" si="315"/>
        <v>0</v>
      </c>
      <c r="V441" s="789">
        <f t="shared" si="315"/>
        <v>0</v>
      </c>
      <c r="W441" s="789">
        <f t="shared" si="315"/>
        <v>0</v>
      </c>
      <c r="X441" s="789">
        <f t="shared" si="315"/>
        <v>0</v>
      </c>
    </row>
    <row r="442" spans="2:24" outlineLevel="1">
      <c r="B442" s="184" t="s">
        <v>805</v>
      </c>
      <c r="C442" s="182" t="s">
        <v>67</v>
      </c>
      <c r="D442" s="201">
        <f>IF(D421="No",D423,D417)</f>
        <v>11.47127510480904</v>
      </c>
      <c r="O442" s="651">
        <f t="shared" ref="O442:R442" si="316">+MIN($D$442,O426-O427)</f>
        <v>0</v>
      </c>
      <c r="P442" s="790">
        <f t="shared" si="316"/>
        <v>0</v>
      </c>
      <c r="Q442" s="790">
        <f t="shared" si="316"/>
        <v>0</v>
      </c>
      <c r="R442" s="790">
        <f t="shared" si="316"/>
        <v>0</v>
      </c>
      <c r="S442" s="790">
        <f>+MIN($D$442,S426-S427)</f>
        <v>11.47127510480904</v>
      </c>
      <c r="T442" s="790">
        <f t="shared" ref="T442:X442" si="317">+MIN($D$442,T426-T427)</f>
        <v>0</v>
      </c>
      <c r="U442" s="790">
        <f t="shared" si="317"/>
        <v>0</v>
      </c>
      <c r="V442" s="790">
        <f t="shared" si="317"/>
        <v>0</v>
      </c>
      <c r="W442" s="790">
        <f t="shared" si="317"/>
        <v>0</v>
      </c>
      <c r="X442" s="790">
        <f t="shared" si="317"/>
        <v>0</v>
      </c>
    </row>
    <row r="443" spans="2:24" outlineLevel="1"/>
    <row r="444" spans="2:24" outlineLevel="1">
      <c r="B444" s="269" t="s">
        <v>806</v>
      </c>
      <c r="C444" s="211" t="s">
        <v>67</v>
      </c>
      <c r="O444" s="626">
        <f>+N447</f>
        <v>0</v>
      </c>
      <c r="P444" s="219">
        <f t="shared" ref="P444:X444" si="318">+O447</f>
        <v>11.47127510480904</v>
      </c>
      <c r="Q444" s="219">
        <f t="shared" si="318"/>
        <v>11.47127510480904</v>
      </c>
      <c r="R444" s="219">
        <f t="shared" si="318"/>
        <v>11.47127510480904</v>
      </c>
      <c r="S444" s="219">
        <f t="shared" si="318"/>
        <v>11.47127510480904</v>
      </c>
      <c r="T444" s="219">
        <f t="shared" si="318"/>
        <v>0</v>
      </c>
      <c r="U444" s="219">
        <f t="shared" si="318"/>
        <v>0</v>
      </c>
      <c r="V444" s="219">
        <f t="shared" si="318"/>
        <v>0</v>
      </c>
      <c r="W444" s="219">
        <f t="shared" si="318"/>
        <v>0</v>
      </c>
      <c r="X444" s="219">
        <f t="shared" si="318"/>
        <v>0</v>
      </c>
    </row>
    <row r="445" spans="2:24" outlineLevel="1">
      <c r="B445" s="184" t="s">
        <v>186</v>
      </c>
      <c r="C445" s="182" t="s">
        <v>67</v>
      </c>
      <c r="O445" s="651">
        <f>+D442</f>
        <v>11.47127510480904</v>
      </c>
      <c r="P445" s="201"/>
      <c r="Q445" s="201"/>
      <c r="R445" s="201"/>
      <c r="S445" s="201"/>
      <c r="T445" s="201"/>
      <c r="U445" s="201"/>
      <c r="V445" s="201"/>
      <c r="W445" s="201"/>
      <c r="X445" s="201"/>
    </row>
    <row r="446" spans="2:24" outlineLevel="1">
      <c r="B446" s="216" t="s">
        <v>187</v>
      </c>
      <c r="C446" s="208" t="s">
        <v>67</v>
      </c>
      <c r="D446" s="292"/>
      <c r="E446" s="292"/>
      <c r="F446" s="292"/>
      <c r="G446" s="292"/>
      <c r="H446" s="631"/>
      <c r="I446" s="292"/>
      <c r="J446" s="292"/>
      <c r="K446" s="292"/>
      <c r="L446" s="292"/>
      <c r="M446" s="292"/>
      <c r="N446" s="649"/>
      <c r="O446" s="632">
        <f>-MIN(SUM(O444:O445),O442)</f>
        <v>0</v>
      </c>
      <c r="P446" s="294">
        <f t="shared" ref="P446" si="319">-MIN(SUM(P444:P445),P442)</f>
        <v>0</v>
      </c>
      <c r="Q446" s="294">
        <f t="shared" ref="Q446" si="320">-MIN(SUM(Q444:Q445),Q442)</f>
        <v>0</v>
      </c>
      <c r="R446" s="294">
        <f t="shared" ref="R446" si="321">-MIN(SUM(R444:R445),R442)</f>
        <v>0</v>
      </c>
      <c r="S446" s="294">
        <f t="shared" ref="S446" si="322">-MIN(SUM(S444:S445),S442)</f>
        <v>-11.47127510480904</v>
      </c>
      <c r="T446" s="294">
        <f t="shared" ref="T446" si="323">-MIN(SUM(T444:T445),T442)</f>
        <v>0</v>
      </c>
      <c r="U446" s="294">
        <f t="shared" ref="U446" si="324">-MIN(SUM(U444:U445),U442)</f>
        <v>0</v>
      </c>
      <c r="V446" s="294">
        <f t="shared" ref="V446" si="325">-MIN(SUM(V444:V445),V442)</f>
        <v>0</v>
      </c>
      <c r="W446" s="294">
        <f t="shared" ref="W446" si="326">-MIN(SUM(W444:W445),W442)</f>
        <v>0</v>
      </c>
      <c r="X446" s="294">
        <f t="shared" ref="X446" si="327">-MIN(SUM(X444:X445),X442)</f>
        <v>0</v>
      </c>
    </row>
    <row r="447" spans="2:24" outlineLevel="1">
      <c r="B447" s="269" t="s">
        <v>807</v>
      </c>
      <c r="C447" s="211" t="s">
        <v>67</v>
      </c>
      <c r="O447" s="626">
        <f>+SUM(O444:O446)</f>
        <v>11.47127510480904</v>
      </c>
      <c r="P447" s="219">
        <f t="shared" ref="P447" si="328">+SUM(P444:P446)</f>
        <v>11.47127510480904</v>
      </c>
      <c r="Q447" s="219">
        <f t="shared" ref="Q447" si="329">+SUM(Q444:Q446)</f>
        <v>11.47127510480904</v>
      </c>
      <c r="R447" s="219">
        <f t="shared" ref="R447" si="330">+SUM(R444:R446)</f>
        <v>11.47127510480904</v>
      </c>
      <c r="S447" s="219">
        <f t="shared" ref="S447" si="331">+SUM(S444:S446)</f>
        <v>0</v>
      </c>
      <c r="T447" s="219">
        <f t="shared" ref="T447" si="332">+SUM(T444:T446)</f>
        <v>0</v>
      </c>
      <c r="U447" s="219">
        <f t="shared" ref="U447" si="333">+SUM(U444:U446)</f>
        <v>0</v>
      </c>
      <c r="V447" s="219">
        <f t="shared" ref="V447" si="334">+SUM(V444:V446)</f>
        <v>0</v>
      </c>
      <c r="W447" s="219">
        <f t="shared" ref="W447" si="335">+SUM(W444:W446)</f>
        <v>0</v>
      </c>
      <c r="X447" s="219">
        <f t="shared" ref="X447" si="336">+SUM(X444:X446)</f>
        <v>0</v>
      </c>
    </row>
    <row r="448" spans="2:24" outlineLevel="1"/>
    <row r="449" spans="1:24" s="213" customFormat="1" outlineLevel="1">
      <c r="B449" s="213" t="s">
        <v>809</v>
      </c>
      <c r="C449" s="211" t="s">
        <v>67</v>
      </c>
      <c r="D449" s="219">
        <f>+SUM(E449:X449)</f>
        <v>18.5281890244</v>
      </c>
      <c r="H449" s="624"/>
      <c r="N449" s="739"/>
      <c r="O449" s="794">
        <f>ROUND(+MAX(0,O441+O446),10)</f>
        <v>0</v>
      </c>
      <c r="P449" s="789">
        <f t="shared" ref="P449:X449" si="337">ROUND(+MAX(0,P441+P446),10)</f>
        <v>0</v>
      </c>
      <c r="Q449" s="789">
        <f t="shared" si="337"/>
        <v>0</v>
      </c>
      <c r="R449" s="789">
        <f t="shared" si="337"/>
        <v>0</v>
      </c>
      <c r="S449" s="789">
        <f t="shared" si="337"/>
        <v>18.5281890244</v>
      </c>
      <c r="T449" s="789">
        <f t="shared" si="337"/>
        <v>0</v>
      </c>
      <c r="U449" s="789">
        <f t="shared" si="337"/>
        <v>0</v>
      </c>
      <c r="V449" s="789">
        <f t="shared" si="337"/>
        <v>0</v>
      </c>
      <c r="W449" s="789">
        <f t="shared" si="337"/>
        <v>0</v>
      </c>
      <c r="X449" s="789">
        <f t="shared" si="337"/>
        <v>0</v>
      </c>
    </row>
    <row r="450" spans="1:24" outlineLevel="1"/>
    <row r="451" spans="1:24" outlineLevel="1">
      <c r="A451" s="180" t="s">
        <v>24</v>
      </c>
      <c r="B451" s="269" t="str">
        <f>"Step 4: LP / GP Split up to "&amp;D453&amp;"x tier"</f>
        <v>Step 4: LP / GP Split up to 3.5x tier</v>
      </c>
    </row>
    <row r="452" spans="1:24" outlineLevel="1">
      <c r="B452" s="184" t="str">
        <f>+B406</f>
        <v>Invested Capital</v>
      </c>
      <c r="C452" s="182" t="str">
        <f>+C406</f>
        <v>USD M</v>
      </c>
      <c r="D452" s="201">
        <f>+D406</f>
        <v>41.713727653851059</v>
      </c>
    </row>
    <row r="453" spans="1:24" outlineLevel="1">
      <c r="B453" s="216" t="s">
        <v>811</v>
      </c>
      <c r="C453" s="208" t="s">
        <v>113</v>
      </c>
      <c r="D453" s="209">
        <f>Control!D105</f>
        <v>3.5</v>
      </c>
    </row>
    <row r="454" spans="1:24" outlineLevel="1">
      <c r="B454" s="269" t="s">
        <v>812</v>
      </c>
      <c r="C454" s="211" t="str">
        <f>+C427</f>
        <v>USD M</v>
      </c>
      <c r="D454" s="789">
        <f>+D452*D453</f>
        <v>145.99804678847872</v>
      </c>
    </row>
    <row r="455" spans="1:24" outlineLevel="1">
      <c r="B455" s="216" t="s">
        <v>810</v>
      </c>
      <c r="C455" s="208" t="s">
        <v>67</v>
      </c>
      <c r="D455" s="294">
        <f>+D409+D433+D438</f>
        <v>-104.28431913462764</v>
      </c>
      <c r="E455" s="482"/>
    </row>
    <row r="456" spans="1:24" outlineLevel="1">
      <c r="B456" s="269" t="s">
        <v>813</v>
      </c>
      <c r="C456" s="211" t="str">
        <f t="shared" ref="C456" si="338">+C431</f>
        <v>USD M</v>
      </c>
      <c r="D456" s="789">
        <f>+D454+D455</f>
        <v>41.71372765385108</v>
      </c>
    </row>
    <row r="457" spans="1:24" outlineLevel="1">
      <c r="B457" s="401" t="s">
        <v>814</v>
      </c>
      <c r="C457" s="182" t="s">
        <v>67</v>
      </c>
      <c r="D457" s="790">
        <f>+$D456*$D$345</f>
        <v>37.542354888465972</v>
      </c>
    </row>
    <row r="458" spans="1:24" outlineLevel="1">
      <c r="B458" s="401" t="s">
        <v>815</v>
      </c>
      <c r="C458" s="182" t="s">
        <v>67</v>
      </c>
      <c r="D458" s="790">
        <f>+$D456*$D$346</f>
        <v>4.171372765385108</v>
      </c>
      <c r="E458" s="186"/>
    </row>
    <row r="459" spans="1:24" outlineLevel="1"/>
    <row r="460" spans="1:24" outlineLevel="1">
      <c r="B460" s="269" t="s">
        <v>803</v>
      </c>
      <c r="C460" s="211"/>
      <c r="D460" s="789"/>
    </row>
    <row r="461" spans="1:24" outlineLevel="1">
      <c r="B461" s="184" t="s">
        <v>816</v>
      </c>
      <c r="C461" s="182" t="s">
        <v>14</v>
      </c>
      <c r="D461" s="185">
        <f>Control!D106</f>
        <v>0.75</v>
      </c>
    </row>
    <row r="462" spans="1:24" outlineLevel="1">
      <c r="B462" s="216" t="s">
        <v>817</v>
      </c>
      <c r="C462" s="208" t="s">
        <v>14</v>
      </c>
      <c r="D462" s="446">
        <f>1-D461</f>
        <v>0.25</v>
      </c>
      <c r="S462" s="482"/>
    </row>
    <row r="463" spans="1:24" outlineLevel="1">
      <c r="B463" s="269" t="s">
        <v>818</v>
      </c>
      <c r="C463" s="211" t="str">
        <f t="shared" ref="C463" si="339">+C436</f>
        <v>USD M</v>
      </c>
      <c r="D463" s="219">
        <f>+D456/D461*D462</f>
        <v>13.904575884617026</v>
      </c>
    </row>
    <row r="464" spans="1:24" outlineLevel="1"/>
    <row r="465" spans="2:24" outlineLevel="1">
      <c r="B465" s="184" t="s">
        <v>867</v>
      </c>
      <c r="C465" s="182" t="s">
        <v>67</v>
      </c>
      <c r="D465" s="201">
        <f>+D463+D456</f>
        <v>55.618303538468105</v>
      </c>
    </row>
    <row r="466" spans="2:24" outlineLevel="1">
      <c r="B466" s="216" t="s">
        <v>868</v>
      </c>
      <c r="C466" s="208" t="s">
        <v>67</v>
      </c>
      <c r="D466" s="294">
        <f>+D472</f>
        <v>18.5281890244</v>
      </c>
    </row>
    <row r="467" spans="2:24" outlineLevel="1">
      <c r="B467" s="213" t="s">
        <v>872</v>
      </c>
      <c r="C467" s="211" t="s">
        <v>866</v>
      </c>
      <c r="D467" s="791" t="str">
        <f>+IF(D466&gt;D465,"Yes","No")</f>
        <v>No</v>
      </c>
    </row>
    <row r="468" spans="2:24" outlineLevel="1"/>
    <row r="469" spans="2:24" outlineLevel="1">
      <c r="B469" s="263" t="s">
        <v>869</v>
      </c>
      <c r="C469" s="182" t="s">
        <v>67</v>
      </c>
      <c r="D469" s="201">
        <f>IF(D467="No",D466*D462,0)</f>
        <v>4.6320472560999999</v>
      </c>
    </row>
    <row r="470" spans="2:24" outlineLevel="1">
      <c r="B470" s="263" t="s">
        <v>870</v>
      </c>
      <c r="C470" s="182" t="s">
        <v>67</v>
      </c>
      <c r="D470" s="201">
        <f>IF(D467="No",D466-D469,0)</f>
        <v>13.8961417683</v>
      </c>
    </row>
    <row r="471" spans="2:24" outlineLevel="1"/>
    <row r="472" spans="2:24" outlineLevel="1">
      <c r="B472" s="213" t="s">
        <v>873</v>
      </c>
      <c r="C472" s="211" t="s">
        <v>67</v>
      </c>
      <c r="D472" s="219">
        <f>+SUM(O472:X472)</f>
        <v>18.5281890244</v>
      </c>
      <c r="O472" s="651">
        <f>+O477</f>
        <v>0</v>
      </c>
      <c r="P472" s="201">
        <f t="shared" ref="P472:X472" si="340">+P477</f>
        <v>0</v>
      </c>
      <c r="Q472" s="201">
        <f t="shared" si="340"/>
        <v>0</v>
      </c>
      <c r="R472" s="201">
        <f t="shared" si="340"/>
        <v>0</v>
      </c>
      <c r="S472" s="201">
        <f t="shared" si="340"/>
        <v>18.5281890244</v>
      </c>
      <c r="T472" s="201">
        <f t="shared" si="340"/>
        <v>0</v>
      </c>
      <c r="U472" s="201">
        <f t="shared" si="340"/>
        <v>0</v>
      </c>
      <c r="V472" s="201">
        <f t="shared" si="340"/>
        <v>0</v>
      </c>
      <c r="W472" s="201">
        <f t="shared" si="340"/>
        <v>0</v>
      </c>
      <c r="X472" s="201">
        <f t="shared" si="340"/>
        <v>0</v>
      </c>
    </row>
    <row r="473" spans="2:24" outlineLevel="1">
      <c r="B473" s="184" t="s">
        <v>804</v>
      </c>
      <c r="C473" s="182" t="s">
        <v>67</v>
      </c>
      <c r="D473" s="790">
        <f>IF(D467="No",D470,D456)</f>
        <v>13.8961417683</v>
      </c>
    </row>
    <row r="474" spans="2:24" outlineLevel="1">
      <c r="B474" s="401" t="s">
        <v>801</v>
      </c>
      <c r="C474" s="182" t="s">
        <v>67</v>
      </c>
      <c r="D474" s="792">
        <f>+D473*D345</f>
        <v>12.50652759147</v>
      </c>
    </row>
    <row r="475" spans="2:24" outlineLevel="1">
      <c r="B475" s="401" t="s">
        <v>802</v>
      </c>
      <c r="C475" s="182" t="s">
        <v>67</v>
      </c>
      <c r="D475" s="792">
        <f>+D473*D346</f>
        <v>1.3896141768300001</v>
      </c>
    </row>
    <row r="476" spans="2:24" outlineLevel="1"/>
    <row r="477" spans="2:24" s="213" customFormat="1" outlineLevel="1">
      <c r="B477" s="213" t="str">
        <f>+B449</f>
        <v xml:space="preserve">Cash Flow Available for Step 4 </v>
      </c>
      <c r="C477" s="211" t="str">
        <f>+C449</f>
        <v>USD M</v>
      </c>
      <c r="D477" s="219">
        <f>+SUM(O477:X477)</f>
        <v>18.5281890244</v>
      </c>
      <c r="H477" s="624">
        <f>+H440</f>
        <v>0</v>
      </c>
      <c r="I477" s="213">
        <f>+I440</f>
        <v>0</v>
      </c>
      <c r="J477" s="213">
        <f>+J440</f>
        <v>0</v>
      </c>
      <c r="K477" s="213">
        <f>+K440</f>
        <v>0</v>
      </c>
      <c r="M477" s="213">
        <f>+M440</f>
        <v>0</v>
      </c>
      <c r="N477" s="739"/>
      <c r="O477" s="626">
        <f t="shared" ref="O477:X477" si="341">+O449</f>
        <v>0</v>
      </c>
      <c r="P477" s="219">
        <f t="shared" si="341"/>
        <v>0</v>
      </c>
      <c r="Q477" s="219">
        <f t="shared" si="341"/>
        <v>0</v>
      </c>
      <c r="R477" s="219">
        <f t="shared" si="341"/>
        <v>0</v>
      </c>
      <c r="S477" s="219">
        <f t="shared" si="341"/>
        <v>18.5281890244</v>
      </c>
      <c r="T477" s="219">
        <f t="shared" si="341"/>
        <v>0</v>
      </c>
      <c r="U477" s="219">
        <f t="shared" si="341"/>
        <v>0</v>
      </c>
      <c r="V477" s="219">
        <f t="shared" si="341"/>
        <v>0</v>
      </c>
      <c r="W477" s="219">
        <f t="shared" si="341"/>
        <v>0</v>
      </c>
      <c r="X477" s="219">
        <f t="shared" si="341"/>
        <v>0</v>
      </c>
    </row>
    <row r="478" spans="2:24" s="213" customFormat="1" outlineLevel="1">
      <c r="B478" s="184" t="s">
        <v>804</v>
      </c>
      <c r="C478" s="182" t="s">
        <v>67</v>
      </c>
      <c r="D478" s="790">
        <f>IF(D467="no",D473,D456)</f>
        <v>13.8961417683</v>
      </c>
      <c r="E478" s="180"/>
      <c r="F478" s="180"/>
      <c r="G478" s="180"/>
      <c r="H478" s="575"/>
      <c r="I478" s="180"/>
      <c r="J478" s="180"/>
      <c r="K478" s="180"/>
      <c r="L478" s="180"/>
      <c r="M478" s="180"/>
      <c r="N478" s="576"/>
      <c r="O478" s="651">
        <f>+MIN($D478,O477)</f>
        <v>0</v>
      </c>
      <c r="P478" s="201">
        <f t="shared" ref="P478:X478" si="342">+MIN($D478,P477)</f>
        <v>0</v>
      </c>
      <c r="Q478" s="201">
        <f t="shared" si="342"/>
        <v>0</v>
      </c>
      <c r="R478" s="201">
        <f t="shared" si="342"/>
        <v>0</v>
      </c>
      <c r="S478" s="201">
        <f t="shared" si="342"/>
        <v>13.8961417683</v>
      </c>
      <c r="T478" s="201">
        <f t="shared" si="342"/>
        <v>0</v>
      </c>
      <c r="U478" s="201">
        <f t="shared" si="342"/>
        <v>0</v>
      </c>
      <c r="V478" s="201">
        <f t="shared" si="342"/>
        <v>0</v>
      </c>
      <c r="W478" s="201">
        <f t="shared" si="342"/>
        <v>0</v>
      </c>
      <c r="X478" s="201">
        <f t="shared" si="342"/>
        <v>0</v>
      </c>
    </row>
    <row r="479" spans="2:24" outlineLevel="1"/>
    <row r="480" spans="2:24" s="213" customFormat="1" outlineLevel="1">
      <c r="B480" s="269" t="s">
        <v>833</v>
      </c>
      <c r="C480" s="211" t="s">
        <v>67</v>
      </c>
      <c r="H480" s="624"/>
      <c r="N480" s="739"/>
      <c r="O480" s="626">
        <f>+N483</f>
        <v>0</v>
      </c>
      <c r="P480" s="219">
        <f t="shared" ref="P480:X480" si="343">+O483</f>
        <v>12.50652759147</v>
      </c>
      <c r="Q480" s="219">
        <f t="shared" si="343"/>
        <v>12.50652759147</v>
      </c>
      <c r="R480" s="219">
        <f t="shared" si="343"/>
        <v>12.50652759147</v>
      </c>
      <c r="S480" s="219">
        <f t="shared" si="343"/>
        <v>12.50652759147</v>
      </c>
      <c r="T480" s="219">
        <f t="shared" si="343"/>
        <v>0</v>
      </c>
      <c r="U480" s="219">
        <f t="shared" si="343"/>
        <v>0</v>
      </c>
      <c r="V480" s="219">
        <f t="shared" si="343"/>
        <v>0</v>
      </c>
      <c r="W480" s="219">
        <f t="shared" si="343"/>
        <v>0</v>
      </c>
      <c r="X480" s="219">
        <f t="shared" si="343"/>
        <v>0</v>
      </c>
    </row>
    <row r="481" spans="2:24" outlineLevel="1">
      <c r="B481" s="184" t="s">
        <v>186</v>
      </c>
      <c r="C481" s="182" t="s">
        <v>67</v>
      </c>
      <c r="O481" s="651">
        <f>IF(D467="No",D474,D457)</f>
        <v>12.50652759147</v>
      </c>
      <c r="P481" s="201"/>
      <c r="Q481" s="201"/>
      <c r="R481" s="201"/>
      <c r="S481" s="201"/>
      <c r="T481" s="201"/>
      <c r="U481" s="201"/>
      <c r="V481" s="201"/>
      <c r="W481" s="201"/>
      <c r="X481" s="201"/>
    </row>
    <row r="482" spans="2:24" outlineLevel="1">
      <c r="B482" s="216" t="s">
        <v>187</v>
      </c>
      <c r="C482" s="208" t="s">
        <v>67</v>
      </c>
      <c r="D482" s="294">
        <f>+SUM(O482:X482)</f>
        <v>-12.50652759147</v>
      </c>
      <c r="E482" s="292"/>
      <c r="F482" s="292"/>
      <c r="G482" s="292"/>
      <c r="H482" s="631"/>
      <c r="I482" s="292"/>
      <c r="J482" s="292"/>
      <c r="K482" s="292"/>
      <c r="L482" s="292"/>
      <c r="M482" s="292"/>
      <c r="N482" s="649"/>
      <c r="O482" s="632">
        <f t="shared" ref="O482:X482" si="344">-MIN(SUM(O480:O481),O478)</f>
        <v>0</v>
      </c>
      <c r="P482" s="294">
        <f t="shared" si="344"/>
        <v>0</v>
      </c>
      <c r="Q482" s="294">
        <f t="shared" si="344"/>
        <v>0</v>
      </c>
      <c r="R482" s="294">
        <f t="shared" si="344"/>
        <v>0</v>
      </c>
      <c r="S482" s="294">
        <f t="shared" si="344"/>
        <v>-12.50652759147</v>
      </c>
      <c r="T482" s="294">
        <f t="shared" si="344"/>
        <v>0</v>
      </c>
      <c r="U482" s="294">
        <f t="shared" si="344"/>
        <v>0</v>
      </c>
      <c r="V482" s="294">
        <f t="shared" si="344"/>
        <v>0</v>
      </c>
      <c r="W482" s="294">
        <f t="shared" si="344"/>
        <v>0</v>
      </c>
      <c r="X482" s="294">
        <f t="shared" si="344"/>
        <v>0</v>
      </c>
    </row>
    <row r="483" spans="2:24" s="213" customFormat="1" outlineLevel="1">
      <c r="B483" s="269" t="s">
        <v>834</v>
      </c>
      <c r="C483" s="211" t="s">
        <v>67</v>
      </c>
      <c r="H483" s="624"/>
      <c r="N483" s="739"/>
      <c r="O483" s="626">
        <f>+SUM(O480:O482)</f>
        <v>12.50652759147</v>
      </c>
      <c r="P483" s="219">
        <f t="shared" ref="P483" si="345">+SUM(P480:P482)</f>
        <v>12.50652759147</v>
      </c>
      <c r="Q483" s="219">
        <f t="shared" ref="Q483" si="346">+SUM(Q480:Q482)</f>
        <v>12.50652759147</v>
      </c>
      <c r="R483" s="219">
        <f t="shared" ref="R483" si="347">+SUM(R480:R482)</f>
        <v>12.50652759147</v>
      </c>
      <c r="S483" s="219">
        <f t="shared" ref="S483" si="348">+SUM(S480:S482)</f>
        <v>0</v>
      </c>
      <c r="T483" s="219">
        <f t="shared" ref="T483" si="349">+SUM(T480:T482)</f>
        <v>0</v>
      </c>
      <c r="U483" s="219">
        <f t="shared" ref="U483" si="350">+SUM(U480:U482)</f>
        <v>0</v>
      </c>
      <c r="V483" s="219">
        <f t="shared" ref="V483" si="351">+SUM(V480:V482)</f>
        <v>0</v>
      </c>
      <c r="W483" s="219">
        <f t="shared" ref="W483" si="352">+SUM(W480:W482)</f>
        <v>0</v>
      </c>
      <c r="X483" s="219">
        <f t="shared" ref="X483" si="353">+SUM(X480:X482)</f>
        <v>0</v>
      </c>
    </row>
    <row r="484" spans="2:24" outlineLevel="1">
      <c r="B484" s="184"/>
    </row>
    <row r="485" spans="2:24" s="213" customFormat="1" outlineLevel="1">
      <c r="B485" s="269" t="s">
        <v>835</v>
      </c>
      <c r="C485" s="211" t="s">
        <v>67</v>
      </c>
      <c r="H485" s="624"/>
      <c r="N485" s="739"/>
      <c r="O485" s="626">
        <f>+N488</f>
        <v>0</v>
      </c>
      <c r="P485" s="219">
        <f t="shared" ref="P485:X485" si="354">+O488</f>
        <v>1.3896141768300001</v>
      </c>
      <c r="Q485" s="219">
        <f t="shared" si="354"/>
        <v>1.3896141768300001</v>
      </c>
      <c r="R485" s="219">
        <f t="shared" si="354"/>
        <v>1.3896141768300001</v>
      </c>
      <c r="S485" s="219">
        <f t="shared" si="354"/>
        <v>1.3896141768300001</v>
      </c>
      <c r="T485" s="219">
        <f t="shared" si="354"/>
        <v>0</v>
      </c>
      <c r="U485" s="219">
        <f t="shared" si="354"/>
        <v>0</v>
      </c>
      <c r="V485" s="219">
        <f t="shared" si="354"/>
        <v>0</v>
      </c>
      <c r="W485" s="219">
        <f t="shared" si="354"/>
        <v>0</v>
      </c>
      <c r="X485" s="219">
        <f t="shared" si="354"/>
        <v>0</v>
      </c>
    </row>
    <row r="486" spans="2:24" outlineLevel="1">
      <c r="B486" s="184" t="s">
        <v>186</v>
      </c>
      <c r="C486" s="182" t="s">
        <v>67</v>
      </c>
      <c r="D486" s="201"/>
      <c r="O486" s="793">
        <f>IF(D467="No",D475,D457)</f>
        <v>1.3896141768300001</v>
      </c>
    </row>
    <row r="487" spans="2:24" outlineLevel="1">
      <c r="B487" s="216" t="s">
        <v>187</v>
      </c>
      <c r="C487" s="208" t="s">
        <v>67</v>
      </c>
      <c r="D487" s="294">
        <f>+SUM(O487:X487)</f>
        <v>-1.3896141768299994</v>
      </c>
      <c r="E487" s="292"/>
      <c r="F487" s="292"/>
      <c r="G487" s="292"/>
      <c r="H487" s="631"/>
      <c r="I487" s="292"/>
      <c r="J487" s="292"/>
      <c r="K487" s="292"/>
      <c r="L487" s="292"/>
      <c r="M487" s="292"/>
      <c r="N487" s="649"/>
      <c r="O487" s="632">
        <f t="shared" ref="O487:X487" si="355">-MIN(SUM(O485:O486),O478+O482)</f>
        <v>0</v>
      </c>
      <c r="P487" s="294">
        <f t="shared" si="355"/>
        <v>0</v>
      </c>
      <c r="Q487" s="294">
        <f t="shared" si="355"/>
        <v>0</v>
      </c>
      <c r="R487" s="294">
        <f t="shared" si="355"/>
        <v>0</v>
      </c>
      <c r="S487" s="294">
        <f t="shared" si="355"/>
        <v>-1.3896141768299994</v>
      </c>
      <c r="T487" s="294">
        <f t="shared" si="355"/>
        <v>0</v>
      </c>
      <c r="U487" s="294">
        <f t="shared" si="355"/>
        <v>0</v>
      </c>
      <c r="V487" s="294">
        <f t="shared" si="355"/>
        <v>0</v>
      </c>
      <c r="W487" s="294">
        <f t="shared" si="355"/>
        <v>0</v>
      </c>
      <c r="X487" s="294">
        <f t="shared" si="355"/>
        <v>0</v>
      </c>
    </row>
    <row r="488" spans="2:24" outlineLevel="1">
      <c r="B488" s="269" t="s">
        <v>836</v>
      </c>
      <c r="C488" s="211" t="s">
        <v>67</v>
      </c>
      <c r="O488" s="651">
        <f>+SUM(O485:O487)</f>
        <v>1.3896141768300001</v>
      </c>
      <c r="P488" s="201">
        <f t="shared" ref="P488" si="356">+SUM(P485:P487)</f>
        <v>1.3896141768300001</v>
      </c>
      <c r="Q488" s="201">
        <f t="shared" ref="Q488" si="357">+SUM(Q485:Q487)</f>
        <v>1.3896141768300001</v>
      </c>
      <c r="R488" s="201">
        <f t="shared" ref="R488" si="358">+SUM(R485:R487)</f>
        <v>1.3896141768300001</v>
      </c>
      <c r="S488" s="201">
        <f t="shared" ref="S488" si="359">+SUM(S485:S487)</f>
        <v>0</v>
      </c>
      <c r="T488" s="201">
        <f t="shared" ref="T488" si="360">+SUM(T485:T487)</f>
        <v>0</v>
      </c>
      <c r="U488" s="201">
        <f t="shared" ref="U488" si="361">+SUM(U485:U487)</f>
        <v>0</v>
      </c>
      <c r="V488" s="201">
        <f t="shared" ref="V488" si="362">+SUM(V485:V487)</f>
        <v>0</v>
      </c>
      <c r="W488" s="201">
        <f t="shared" ref="W488" si="363">+SUM(W485:W487)</f>
        <v>0</v>
      </c>
      <c r="X488" s="201">
        <f t="shared" ref="X488" si="364">+SUM(X485:X487)</f>
        <v>0</v>
      </c>
    </row>
    <row r="489" spans="2:24" outlineLevel="1"/>
    <row r="490" spans="2:24" s="213" customFormat="1" outlineLevel="1">
      <c r="B490" s="213" t="s">
        <v>837</v>
      </c>
      <c r="C490" s="211" t="s">
        <v>67</v>
      </c>
      <c r="H490" s="624"/>
      <c r="N490" s="739"/>
      <c r="O490" s="794">
        <f>+O477+O482+O487</f>
        <v>0</v>
      </c>
      <c r="P490" s="789">
        <f t="shared" ref="P490:X490" si="365">+P477+P482+P487</f>
        <v>0</v>
      </c>
      <c r="Q490" s="789">
        <f t="shared" si="365"/>
        <v>0</v>
      </c>
      <c r="R490" s="789">
        <f t="shared" si="365"/>
        <v>0</v>
      </c>
      <c r="S490" s="789">
        <f t="shared" si="365"/>
        <v>4.6320472560999999</v>
      </c>
      <c r="T490" s="789">
        <f t="shared" si="365"/>
        <v>0</v>
      </c>
      <c r="U490" s="789">
        <f t="shared" si="365"/>
        <v>0</v>
      </c>
      <c r="V490" s="789">
        <f t="shared" si="365"/>
        <v>0</v>
      </c>
      <c r="W490" s="789">
        <f t="shared" si="365"/>
        <v>0</v>
      </c>
      <c r="X490" s="789">
        <f t="shared" si="365"/>
        <v>0</v>
      </c>
    </row>
    <row r="491" spans="2:24" outlineLevel="1">
      <c r="B491" s="184" t="s">
        <v>805</v>
      </c>
      <c r="C491" s="182" t="s">
        <v>67</v>
      </c>
      <c r="D491" s="201">
        <f>IF(D467="No",D469,D463)</f>
        <v>4.6320472560999999</v>
      </c>
      <c r="O491" s="651">
        <f>+MIN($D$491,O477-O478)</f>
        <v>0</v>
      </c>
      <c r="P491" s="201">
        <f>+MIN($D$491,P477-P478)</f>
        <v>0</v>
      </c>
      <c r="Q491" s="201">
        <f t="shared" ref="Q491:X491" si="366">+MIN($D$491,Q477-Q478)</f>
        <v>0</v>
      </c>
      <c r="R491" s="201">
        <f t="shared" si="366"/>
        <v>0</v>
      </c>
      <c r="S491" s="201">
        <f t="shared" si="366"/>
        <v>4.6320472560999999</v>
      </c>
      <c r="T491" s="201">
        <f t="shared" si="366"/>
        <v>0</v>
      </c>
      <c r="U491" s="201">
        <f t="shared" si="366"/>
        <v>0</v>
      </c>
      <c r="V491" s="201">
        <f t="shared" si="366"/>
        <v>0</v>
      </c>
      <c r="W491" s="201">
        <f t="shared" si="366"/>
        <v>0</v>
      </c>
      <c r="X491" s="201">
        <f t="shared" si="366"/>
        <v>0</v>
      </c>
    </row>
    <row r="492" spans="2:24" outlineLevel="1"/>
    <row r="493" spans="2:24" outlineLevel="1">
      <c r="B493" s="269" t="s">
        <v>838</v>
      </c>
      <c r="C493" s="211" t="s">
        <v>67</v>
      </c>
      <c r="O493" s="626">
        <f>+N496</f>
        <v>0</v>
      </c>
      <c r="P493" s="219">
        <f t="shared" ref="P493:X493" si="367">+O496</f>
        <v>4.6320472560999999</v>
      </c>
      <c r="Q493" s="219">
        <f t="shared" si="367"/>
        <v>4.6320472560999999</v>
      </c>
      <c r="R493" s="219">
        <f t="shared" si="367"/>
        <v>4.6320472560999999</v>
      </c>
      <c r="S493" s="219">
        <f t="shared" si="367"/>
        <v>4.6320472560999999</v>
      </c>
      <c r="T493" s="219">
        <f t="shared" si="367"/>
        <v>0</v>
      </c>
      <c r="U493" s="219">
        <f t="shared" si="367"/>
        <v>0</v>
      </c>
      <c r="V493" s="219">
        <f t="shared" si="367"/>
        <v>0</v>
      </c>
      <c r="W493" s="219">
        <f t="shared" si="367"/>
        <v>0</v>
      </c>
      <c r="X493" s="219">
        <f t="shared" si="367"/>
        <v>0</v>
      </c>
    </row>
    <row r="494" spans="2:24" outlineLevel="1">
      <c r="B494" s="184" t="s">
        <v>186</v>
      </c>
      <c r="C494" s="182" t="s">
        <v>67</v>
      </c>
      <c r="O494" s="651">
        <f>+IF(D467="No",D491,D463)</f>
        <v>4.6320472560999999</v>
      </c>
      <c r="P494" s="201"/>
      <c r="Q494" s="201"/>
      <c r="R494" s="201"/>
      <c r="S494" s="201"/>
      <c r="T494" s="201"/>
      <c r="U494" s="201"/>
      <c r="V494" s="201"/>
      <c r="W494" s="201"/>
      <c r="X494" s="201"/>
    </row>
    <row r="495" spans="2:24" outlineLevel="1">
      <c r="B495" s="216" t="s">
        <v>187</v>
      </c>
      <c r="C495" s="208" t="s">
        <v>67</v>
      </c>
      <c r="D495" s="292"/>
      <c r="E495" s="292"/>
      <c r="F495" s="292"/>
      <c r="G495" s="292"/>
      <c r="H495" s="631"/>
      <c r="I495" s="292"/>
      <c r="J495" s="292"/>
      <c r="K495" s="292"/>
      <c r="L495" s="292"/>
      <c r="M495" s="292"/>
      <c r="N495" s="649"/>
      <c r="O495" s="632">
        <f>-MIN(SUM(O493:O494),O491)</f>
        <v>0</v>
      </c>
      <c r="P495" s="294">
        <f t="shared" ref="P495" si="368">-MIN(SUM(P493:P494),P491)</f>
        <v>0</v>
      </c>
      <c r="Q495" s="294">
        <f t="shared" ref="Q495" si="369">-MIN(SUM(Q493:Q494),Q491)</f>
        <v>0</v>
      </c>
      <c r="R495" s="294">
        <f t="shared" ref="R495" si="370">-MIN(SUM(R493:R494),R491)</f>
        <v>0</v>
      </c>
      <c r="S495" s="294">
        <f t="shared" ref="S495" si="371">-MIN(SUM(S493:S494),S491)</f>
        <v>-4.6320472560999999</v>
      </c>
      <c r="T495" s="294">
        <f t="shared" ref="T495" si="372">-MIN(SUM(T493:T494),T491)</f>
        <v>0</v>
      </c>
      <c r="U495" s="294">
        <f t="shared" ref="U495" si="373">-MIN(SUM(U493:U494),U491)</f>
        <v>0</v>
      </c>
      <c r="V495" s="294">
        <f t="shared" ref="V495" si="374">-MIN(SUM(V493:V494),V491)</f>
        <v>0</v>
      </c>
      <c r="W495" s="294">
        <f t="shared" ref="W495" si="375">-MIN(SUM(W493:W494),W491)</f>
        <v>0</v>
      </c>
      <c r="X495" s="294">
        <f t="shared" ref="X495" si="376">-MIN(SUM(X493:X494),X491)</f>
        <v>0</v>
      </c>
    </row>
    <row r="496" spans="2:24" outlineLevel="1">
      <c r="B496" s="269" t="s">
        <v>839</v>
      </c>
      <c r="C496" s="211" t="s">
        <v>67</v>
      </c>
      <c r="O496" s="626">
        <f>+SUM(O493:O495)</f>
        <v>4.6320472560999999</v>
      </c>
      <c r="P496" s="219">
        <f t="shared" ref="P496" si="377">+SUM(P493:P495)</f>
        <v>4.6320472560999999</v>
      </c>
      <c r="Q496" s="219">
        <f t="shared" ref="Q496" si="378">+SUM(Q493:Q495)</f>
        <v>4.6320472560999999</v>
      </c>
      <c r="R496" s="219">
        <f t="shared" ref="R496" si="379">+SUM(R493:R495)</f>
        <v>4.6320472560999999</v>
      </c>
      <c r="S496" s="219">
        <f t="shared" ref="S496" si="380">+SUM(S493:S495)</f>
        <v>0</v>
      </c>
      <c r="T496" s="219">
        <f t="shared" ref="T496" si="381">+SUM(T493:T495)</f>
        <v>0</v>
      </c>
      <c r="U496" s="219">
        <f t="shared" ref="U496" si="382">+SUM(U493:U495)</f>
        <v>0</v>
      </c>
      <c r="V496" s="219">
        <f t="shared" ref="V496" si="383">+SUM(V493:V495)</f>
        <v>0</v>
      </c>
      <c r="W496" s="219">
        <f t="shared" ref="W496" si="384">+SUM(W493:W495)</f>
        <v>0</v>
      </c>
      <c r="X496" s="219">
        <f t="shared" ref="X496" si="385">+SUM(X493:X495)</f>
        <v>0</v>
      </c>
    </row>
    <row r="497" spans="1:24" outlineLevel="1"/>
    <row r="498" spans="1:24" s="213" customFormat="1" outlineLevel="1">
      <c r="B498" s="213" t="s">
        <v>819</v>
      </c>
      <c r="C498" s="211" t="s">
        <v>67</v>
      </c>
      <c r="D498" s="219">
        <f>+SUM(E498:X498)</f>
        <v>0</v>
      </c>
      <c r="H498" s="624"/>
      <c r="N498" s="739"/>
      <c r="O498" s="794">
        <f>ROUND(+MAX(0,O490+O495),6)</f>
        <v>0</v>
      </c>
      <c r="P498" s="789">
        <f t="shared" ref="P498:X498" si="386">ROUND(+MAX(0,P490+P495),6)</f>
        <v>0</v>
      </c>
      <c r="Q498" s="789">
        <f t="shared" si="386"/>
        <v>0</v>
      </c>
      <c r="R498" s="789">
        <f t="shared" si="386"/>
        <v>0</v>
      </c>
      <c r="S498" s="789">
        <f t="shared" si="386"/>
        <v>0</v>
      </c>
      <c r="T498" s="789">
        <f t="shared" si="386"/>
        <v>0</v>
      </c>
      <c r="U498" s="789">
        <f t="shared" si="386"/>
        <v>0</v>
      </c>
      <c r="V498" s="789">
        <f t="shared" si="386"/>
        <v>0</v>
      </c>
      <c r="W498" s="789">
        <f t="shared" si="386"/>
        <v>0</v>
      </c>
      <c r="X498" s="789">
        <f t="shared" si="386"/>
        <v>0</v>
      </c>
    </row>
    <row r="499" spans="1:24" outlineLevel="1"/>
    <row r="500" spans="1:24" outlineLevel="1">
      <c r="A500" s="180" t="s">
        <v>24</v>
      </c>
      <c r="B500" s="269" t="s">
        <v>820</v>
      </c>
    </row>
    <row r="501" spans="1:24" outlineLevel="1">
      <c r="B501" s="180" t="str">
        <f>+B498</f>
        <v>Cash Flow Available for Step 5</v>
      </c>
      <c r="C501" s="211" t="str">
        <f>+C498</f>
        <v>USD M</v>
      </c>
      <c r="D501" s="201">
        <f>+D498</f>
        <v>0</v>
      </c>
    </row>
    <row r="502" spans="1:24" outlineLevel="1">
      <c r="C502" s="211"/>
      <c r="D502" s="201"/>
    </row>
    <row r="503" spans="1:24" outlineLevel="1">
      <c r="B503" s="269" t="s">
        <v>803</v>
      </c>
      <c r="C503" s="211"/>
      <c r="D503" s="789"/>
    </row>
    <row r="504" spans="1:24" outlineLevel="1">
      <c r="B504" s="184" t="s">
        <v>821</v>
      </c>
      <c r="C504" s="182" t="s">
        <v>14</v>
      </c>
      <c r="D504" s="185">
        <f>Control!D109</f>
        <v>0.7</v>
      </c>
    </row>
    <row r="505" spans="1:24" outlineLevel="1">
      <c r="B505" s="216" t="s">
        <v>822</v>
      </c>
      <c r="C505" s="208" t="s">
        <v>14</v>
      </c>
      <c r="D505" s="446">
        <f>1-D504</f>
        <v>0.30000000000000004</v>
      </c>
    </row>
    <row r="506" spans="1:24" outlineLevel="1">
      <c r="B506" s="269" t="s">
        <v>893</v>
      </c>
      <c r="C506" s="211" t="str">
        <f t="shared" ref="C506" si="387">+C478</f>
        <v>USD M</v>
      </c>
      <c r="D506" s="219">
        <f>+D498*D505</f>
        <v>0</v>
      </c>
      <c r="F506" s="482"/>
    </row>
    <row r="507" spans="1:24" outlineLevel="1">
      <c r="F507" s="186"/>
    </row>
    <row r="508" spans="1:24" outlineLevel="1">
      <c r="B508" s="184" t="s">
        <v>824</v>
      </c>
      <c r="C508" s="182" t="s">
        <v>67</v>
      </c>
      <c r="D508" s="201">
        <f>+$D$510*D345</f>
        <v>0</v>
      </c>
    </row>
    <row r="509" spans="1:24" outlineLevel="1">
      <c r="B509" s="216" t="s">
        <v>825</v>
      </c>
      <c r="C509" s="208" t="s">
        <v>67</v>
      </c>
      <c r="D509" s="294">
        <f>+$D$510*D346</f>
        <v>0</v>
      </c>
    </row>
    <row r="510" spans="1:24" s="213" customFormat="1" outlineLevel="1">
      <c r="B510" s="213" t="s">
        <v>823</v>
      </c>
      <c r="C510" s="211" t="s">
        <v>67</v>
      </c>
      <c r="D510" s="219">
        <f>+D501-D506</f>
        <v>0</v>
      </c>
      <c r="H510" s="624"/>
      <c r="N510" s="739"/>
      <c r="O510" s="739"/>
    </row>
    <row r="511" spans="1:24" outlineLevel="1"/>
    <row r="512" spans="1:24" s="213" customFormat="1" outlineLevel="1">
      <c r="B512" s="213" t="s">
        <v>819</v>
      </c>
      <c r="C512" s="211" t="s">
        <v>67</v>
      </c>
      <c r="H512" s="624">
        <v>0</v>
      </c>
      <c r="I512" s="213">
        <v>0</v>
      </c>
      <c r="J512" s="213">
        <v>0</v>
      </c>
      <c r="K512" s="213">
        <v>0</v>
      </c>
      <c r="M512" s="213">
        <v>0</v>
      </c>
      <c r="N512" s="739"/>
      <c r="O512" s="626">
        <f>+O498</f>
        <v>0</v>
      </c>
      <c r="P512" s="219">
        <f t="shared" ref="P512:X512" si="388">+P498</f>
        <v>0</v>
      </c>
      <c r="Q512" s="219">
        <f t="shared" si="388"/>
        <v>0</v>
      </c>
      <c r="R512" s="219">
        <f t="shared" si="388"/>
        <v>0</v>
      </c>
      <c r="S512" s="219">
        <f t="shared" si="388"/>
        <v>0</v>
      </c>
      <c r="T512" s="219">
        <f t="shared" si="388"/>
        <v>0</v>
      </c>
      <c r="U512" s="219">
        <f t="shared" si="388"/>
        <v>0</v>
      </c>
      <c r="V512" s="219">
        <f t="shared" si="388"/>
        <v>0</v>
      </c>
      <c r="W512" s="219">
        <f t="shared" si="388"/>
        <v>0</v>
      </c>
      <c r="X512" s="219">
        <f t="shared" si="388"/>
        <v>0</v>
      </c>
    </row>
    <row r="513" spans="2:24" s="213" customFormat="1" outlineLevel="1">
      <c r="B513" s="184" t="s">
        <v>804</v>
      </c>
      <c r="C513" s="182" t="s">
        <v>67</v>
      </c>
      <c r="D513" s="790">
        <f>+D510</f>
        <v>0</v>
      </c>
      <c r="E513" s="180"/>
      <c r="F513" s="180"/>
      <c r="G513" s="180"/>
      <c r="H513" s="575"/>
      <c r="I513" s="180"/>
      <c r="J513" s="180"/>
      <c r="K513" s="180"/>
      <c r="L513" s="180"/>
      <c r="M513" s="180"/>
      <c r="N513" s="576"/>
      <c r="O513" s="651">
        <f>+MIN(O512,$D$513)</f>
        <v>0</v>
      </c>
      <c r="P513" s="201">
        <f t="shared" ref="P513:X513" si="389">+MIN(P512,$D$513)</f>
        <v>0</v>
      </c>
      <c r="Q513" s="201">
        <f t="shared" si="389"/>
        <v>0</v>
      </c>
      <c r="R513" s="201">
        <f t="shared" si="389"/>
        <v>0</v>
      </c>
      <c r="S513" s="201">
        <f t="shared" si="389"/>
        <v>0</v>
      </c>
      <c r="T513" s="201">
        <f t="shared" si="389"/>
        <v>0</v>
      </c>
      <c r="U513" s="201">
        <f t="shared" si="389"/>
        <v>0</v>
      </c>
      <c r="V513" s="201">
        <f t="shared" si="389"/>
        <v>0</v>
      </c>
      <c r="W513" s="201">
        <f t="shared" si="389"/>
        <v>0</v>
      </c>
      <c r="X513" s="201">
        <f t="shared" si="389"/>
        <v>0</v>
      </c>
    </row>
    <row r="514" spans="2:24" outlineLevel="1"/>
    <row r="515" spans="2:24" s="213" customFormat="1" outlineLevel="1">
      <c r="B515" s="269" t="s">
        <v>894</v>
      </c>
      <c r="C515" s="211" t="s">
        <v>67</v>
      </c>
      <c r="H515" s="624"/>
      <c r="N515" s="739"/>
      <c r="O515" s="626">
        <f>+N518</f>
        <v>0</v>
      </c>
      <c r="P515" s="219">
        <f t="shared" ref="P515:X515" si="390">+O518</f>
        <v>0</v>
      </c>
      <c r="Q515" s="219">
        <f t="shared" si="390"/>
        <v>0</v>
      </c>
      <c r="R515" s="219">
        <f t="shared" si="390"/>
        <v>0</v>
      </c>
      <c r="S515" s="219">
        <f t="shared" si="390"/>
        <v>0</v>
      </c>
      <c r="T515" s="219">
        <f t="shared" si="390"/>
        <v>0</v>
      </c>
      <c r="U515" s="219">
        <f t="shared" si="390"/>
        <v>0</v>
      </c>
      <c r="V515" s="219">
        <f t="shared" si="390"/>
        <v>0</v>
      </c>
      <c r="W515" s="219">
        <f t="shared" si="390"/>
        <v>0</v>
      </c>
      <c r="X515" s="219">
        <f t="shared" si="390"/>
        <v>0</v>
      </c>
    </row>
    <row r="516" spans="2:24" outlineLevel="1">
      <c r="B516" s="184" t="s">
        <v>186</v>
      </c>
      <c r="C516" s="182" t="s">
        <v>67</v>
      </c>
      <c r="O516" s="651">
        <f>+D508</f>
        <v>0</v>
      </c>
      <c r="P516" s="201"/>
      <c r="Q516" s="201"/>
      <c r="R516" s="201"/>
      <c r="S516" s="201"/>
      <c r="T516" s="201"/>
      <c r="U516" s="201"/>
      <c r="V516" s="201"/>
      <c r="W516" s="201"/>
      <c r="X516" s="201"/>
    </row>
    <row r="517" spans="2:24" outlineLevel="1">
      <c r="B517" s="216" t="s">
        <v>187</v>
      </c>
      <c r="C517" s="208" t="s">
        <v>67</v>
      </c>
      <c r="D517" s="294">
        <f>+SUM(O517:X517)</f>
        <v>0</v>
      </c>
      <c r="E517" s="292"/>
      <c r="F517" s="292"/>
      <c r="G517" s="292"/>
      <c r="H517" s="631"/>
      <c r="I517" s="292"/>
      <c r="J517" s="292"/>
      <c r="K517" s="292"/>
      <c r="L517" s="292"/>
      <c r="M517" s="292"/>
      <c r="N517" s="649"/>
      <c r="O517" s="632">
        <f t="shared" ref="O517:X517" si="391">-MIN(SUM(O515:O516),O513)</f>
        <v>0</v>
      </c>
      <c r="P517" s="294">
        <f t="shared" si="391"/>
        <v>0</v>
      </c>
      <c r="Q517" s="294">
        <f t="shared" si="391"/>
        <v>0</v>
      </c>
      <c r="R517" s="294">
        <f t="shared" si="391"/>
        <v>0</v>
      </c>
      <c r="S517" s="294">
        <f t="shared" si="391"/>
        <v>0</v>
      </c>
      <c r="T517" s="294">
        <f t="shared" si="391"/>
        <v>0</v>
      </c>
      <c r="U517" s="294">
        <f t="shared" si="391"/>
        <v>0</v>
      </c>
      <c r="V517" s="294">
        <f t="shared" si="391"/>
        <v>0</v>
      </c>
      <c r="W517" s="294">
        <f t="shared" si="391"/>
        <v>0</v>
      </c>
      <c r="X517" s="294">
        <f t="shared" si="391"/>
        <v>0</v>
      </c>
    </row>
    <row r="518" spans="2:24" s="213" customFormat="1" outlineLevel="1">
      <c r="B518" s="269" t="s">
        <v>895</v>
      </c>
      <c r="C518" s="211" t="s">
        <v>67</v>
      </c>
      <c r="H518" s="624"/>
      <c r="N518" s="739"/>
      <c r="O518" s="626">
        <f>+SUM(O515:O517)</f>
        <v>0</v>
      </c>
      <c r="P518" s="219">
        <f t="shared" ref="P518" si="392">+SUM(P515:P517)</f>
        <v>0</v>
      </c>
      <c r="Q518" s="219">
        <f t="shared" ref="Q518" si="393">+SUM(Q515:Q517)</f>
        <v>0</v>
      </c>
      <c r="R518" s="219">
        <f t="shared" ref="R518" si="394">+SUM(R515:R517)</f>
        <v>0</v>
      </c>
      <c r="S518" s="219">
        <f t="shared" ref="S518" si="395">+SUM(S515:S517)</f>
        <v>0</v>
      </c>
      <c r="T518" s="219">
        <f t="shared" ref="T518" si="396">+SUM(T515:T517)</f>
        <v>0</v>
      </c>
      <c r="U518" s="219">
        <f t="shared" ref="U518" si="397">+SUM(U515:U517)</f>
        <v>0</v>
      </c>
      <c r="V518" s="219">
        <f t="shared" ref="V518" si="398">+SUM(V515:V517)</f>
        <v>0</v>
      </c>
      <c r="W518" s="219">
        <f t="shared" ref="W518" si="399">+SUM(W515:W517)</f>
        <v>0</v>
      </c>
      <c r="X518" s="219">
        <f t="shared" ref="X518" si="400">+SUM(X515:X517)</f>
        <v>0</v>
      </c>
    </row>
    <row r="519" spans="2:24" outlineLevel="1">
      <c r="B519" s="184"/>
    </row>
    <row r="520" spans="2:24" s="213" customFormat="1" outlineLevel="1">
      <c r="B520" s="269" t="s">
        <v>896</v>
      </c>
      <c r="C520" s="211" t="s">
        <v>67</v>
      </c>
      <c r="H520" s="624"/>
      <c r="N520" s="739"/>
      <c r="O520" s="626">
        <f>+N523</f>
        <v>0</v>
      </c>
      <c r="P520" s="219">
        <f t="shared" ref="P520:X520" si="401">+O523</f>
        <v>0</v>
      </c>
      <c r="Q520" s="219">
        <f t="shared" si="401"/>
        <v>0</v>
      </c>
      <c r="R520" s="219">
        <f t="shared" si="401"/>
        <v>0</v>
      </c>
      <c r="S520" s="219">
        <f t="shared" si="401"/>
        <v>0</v>
      </c>
      <c r="T520" s="219">
        <f t="shared" si="401"/>
        <v>0</v>
      </c>
      <c r="U520" s="219">
        <f t="shared" si="401"/>
        <v>0</v>
      </c>
      <c r="V520" s="219">
        <f t="shared" si="401"/>
        <v>0</v>
      </c>
      <c r="W520" s="219">
        <f t="shared" si="401"/>
        <v>0</v>
      </c>
      <c r="X520" s="219">
        <f t="shared" si="401"/>
        <v>0</v>
      </c>
    </row>
    <row r="521" spans="2:24" outlineLevel="1">
      <c r="B521" s="184" t="s">
        <v>186</v>
      </c>
      <c r="C521" s="182" t="s">
        <v>67</v>
      </c>
      <c r="D521" s="201"/>
      <c r="O521" s="793">
        <f>+D509</f>
        <v>0</v>
      </c>
    </row>
    <row r="522" spans="2:24" outlineLevel="1">
      <c r="B522" s="216" t="s">
        <v>187</v>
      </c>
      <c r="C522" s="208" t="s">
        <v>67</v>
      </c>
      <c r="D522" s="294">
        <f>+SUM(O522:X522)</f>
        <v>0</v>
      </c>
      <c r="E522" s="292"/>
      <c r="F522" s="292"/>
      <c r="G522" s="292"/>
      <c r="H522" s="631"/>
      <c r="I522" s="292"/>
      <c r="J522" s="292"/>
      <c r="K522" s="292"/>
      <c r="L522" s="292"/>
      <c r="M522" s="292"/>
      <c r="N522" s="649"/>
      <c r="O522" s="632">
        <f t="shared" ref="O522:X522" si="402">-MIN(SUM(O520:O521),O513+O517)</f>
        <v>0</v>
      </c>
      <c r="P522" s="294">
        <f t="shared" si="402"/>
        <v>0</v>
      </c>
      <c r="Q522" s="294">
        <f t="shared" si="402"/>
        <v>0</v>
      </c>
      <c r="R522" s="294">
        <f t="shared" si="402"/>
        <v>0</v>
      </c>
      <c r="S522" s="294">
        <f t="shared" si="402"/>
        <v>0</v>
      </c>
      <c r="T522" s="294">
        <f t="shared" si="402"/>
        <v>0</v>
      </c>
      <c r="U522" s="294">
        <f t="shared" si="402"/>
        <v>0</v>
      </c>
      <c r="V522" s="294">
        <f t="shared" si="402"/>
        <v>0</v>
      </c>
      <c r="W522" s="294">
        <f t="shared" si="402"/>
        <v>0</v>
      </c>
      <c r="X522" s="294">
        <f t="shared" si="402"/>
        <v>0</v>
      </c>
    </row>
    <row r="523" spans="2:24" outlineLevel="1">
      <c r="B523" s="269" t="s">
        <v>897</v>
      </c>
      <c r="C523" s="211" t="s">
        <v>67</v>
      </c>
      <c r="O523" s="651">
        <f>+SUM(O520:O522)</f>
        <v>0</v>
      </c>
      <c r="P523" s="201">
        <f t="shared" ref="P523" si="403">+SUM(P520:P522)</f>
        <v>0</v>
      </c>
      <c r="Q523" s="201">
        <f t="shared" ref="Q523" si="404">+SUM(Q520:Q522)</f>
        <v>0</v>
      </c>
      <c r="R523" s="201">
        <f t="shared" ref="R523" si="405">+SUM(R520:R522)</f>
        <v>0</v>
      </c>
      <c r="S523" s="201">
        <f t="shared" ref="S523" si="406">+SUM(S520:S522)</f>
        <v>0</v>
      </c>
      <c r="T523" s="201">
        <f t="shared" ref="T523" si="407">+SUM(T520:T522)</f>
        <v>0</v>
      </c>
      <c r="U523" s="201">
        <f t="shared" ref="U523" si="408">+SUM(U520:U522)</f>
        <v>0</v>
      </c>
      <c r="V523" s="201">
        <f t="shared" ref="V523" si="409">+SUM(V520:V522)</f>
        <v>0</v>
      </c>
      <c r="W523" s="201">
        <f t="shared" ref="W523" si="410">+SUM(W520:W522)</f>
        <v>0</v>
      </c>
      <c r="X523" s="201">
        <f t="shared" ref="X523" si="411">+SUM(X520:X522)</f>
        <v>0</v>
      </c>
    </row>
    <row r="524" spans="2:24" outlineLevel="1"/>
    <row r="525" spans="2:24" s="213" customFormat="1" outlineLevel="1">
      <c r="B525" s="213" t="s">
        <v>898</v>
      </c>
      <c r="C525" s="211" t="s">
        <v>67</v>
      </c>
      <c r="H525" s="624"/>
      <c r="N525" s="739"/>
      <c r="O525" s="794">
        <f>+O512+O517+O522</f>
        <v>0</v>
      </c>
      <c r="P525" s="789">
        <f t="shared" ref="P525:X525" si="412">+P512+P517+P522</f>
        <v>0</v>
      </c>
      <c r="Q525" s="789">
        <f t="shared" si="412"/>
        <v>0</v>
      </c>
      <c r="R525" s="789">
        <f t="shared" si="412"/>
        <v>0</v>
      </c>
      <c r="S525" s="789">
        <f t="shared" si="412"/>
        <v>0</v>
      </c>
      <c r="T525" s="789">
        <f t="shared" si="412"/>
        <v>0</v>
      </c>
      <c r="U525" s="789">
        <f t="shared" si="412"/>
        <v>0</v>
      </c>
      <c r="V525" s="789">
        <f t="shared" si="412"/>
        <v>0</v>
      </c>
      <c r="W525" s="789">
        <f t="shared" si="412"/>
        <v>0</v>
      </c>
      <c r="X525" s="789">
        <f t="shared" si="412"/>
        <v>0</v>
      </c>
    </row>
    <row r="526" spans="2:24" outlineLevel="1">
      <c r="B526" s="184" t="s">
        <v>805</v>
      </c>
      <c r="C526" s="182" t="s">
        <v>67</v>
      </c>
      <c r="D526" s="201">
        <f>+D506</f>
        <v>0</v>
      </c>
      <c r="O526" s="651">
        <f>+MIN($D$526,O512-O513)</f>
        <v>0</v>
      </c>
      <c r="P526" s="201">
        <f t="shared" ref="P526:X526" si="413">+MIN($D$526,P512-P513)</f>
        <v>0</v>
      </c>
      <c r="Q526" s="201">
        <f t="shared" si="413"/>
        <v>0</v>
      </c>
      <c r="R526" s="201">
        <f t="shared" si="413"/>
        <v>0</v>
      </c>
      <c r="S526" s="201">
        <f t="shared" si="413"/>
        <v>0</v>
      </c>
      <c r="T526" s="201">
        <f t="shared" si="413"/>
        <v>0</v>
      </c>
      <c r="U526" s="201">
        <f t="shared" si="413"/>
        <v>0</v>
      </c>
      <c r="V526" s="201">
        <f t="shared" si="413"/>
        <v>0</v>
      </c>
      <c r="W526" s="201">
        <f t="shared" si="413"/>
        <v>0</v>
      </c>
      <c r="X526" s="201">
        <f t="shared" si="413"/>
        <v>0</v>
      </c>
    </row>
    <row r="527" spans="2:24" outlineLevel="1"/>
    <row r="528" spans="2:24" outlineLevel="1">
      <c r="B528" s="269" t="s">
        <v>899</v>
      </c>
      <c r="C528" s="211" t="s">
        <v>67</v>
      </c>
      <c r="O528" s="626">
        <f>+N531</f>
        <v>0</v>
      </c>
      <c r="P528" s="219">
        <f t="shared" ref="P528:X528" si="414">+O531</f>
        <v>0</v>
      </c>
      <c r="Q528" s="219">
        <f t="shared" si="414"/>
        <v>0</v>
      </c>
      <c r="R528" s="219">
        <f t="shared" si="414"/>
        <v>0</v>
      </c>
      <c r="S528" s="219">
        <f t="shared" si="414"/>
        <v>0</v>
      </c>
      <c r="T528" s="219">
        <f t="shared" si="414"/>
        <v>0</v>
      </c>
      <c r="U528" s="219">
        <f t="shared" si="414"/>
        <v>0</v>
      </c>
      <c r="V528" s="219">
        <f t="shared" si="414"/>
        <v>0</v>
      </c>
      <c r="W528" s="219">
        <f t="shared" si="414"/>
        <v>0</v>
      </c>
      <c r="X528" s="219">
        <f t="shared" si="414"/>
        <v>0</v>
      </c>
    </row>
    <row r="529" spans="1:24" outlineLevel="1">
      <c r="B529" s="184" t="s">
        <v>186</v>
      </c>
      <c r="C529" s="182" t="s">
        <v>67</v>
      </c>
      <c r="O529" s="651">
        <f>+D506</f>
        <v>0</v>
      </c>
      <c r="P529" s="201"/>
      <c r="Q529" s="201"/>
      <c r="R529" s="201"/>
      <c r="S529" s="201"/>
      <c r="T529" s="201"/>
      <c r="U529" s="201"/>
      <c r="V529" s="201"/>
      <c r="W529" s="201"/>
      <c r="X529" s="201"/>
    </row>
    <row r="530" spans="1:24" outlineLevel="1">
      <c r="B530" s="216" t="s">
        <v>187</v>
      </c>
      <c r="C530" s="208" t="s">
        <v>67</v>
      </c>
      <c r="D530" s="292"/>
      <c r="E530" s="292"/>
      <c r="F530" s="292"/>
      <c r="G530" s="292"/>
      <c r="H530" s="631"/>
      <c r="I530" s="292"/>
      <c r="J530" s="292"/>
      <c r="K530" s="292"/>
      <c r="L530" s="292"/>
      <c r="M530" s="292"/>
      <c r="N530" s="649"/>
      <c r="O530" s="632">
        <f>-MIN(SUM(O528:O529),O526)</f>
        <v>0</v>
      </c>
      <c r="P530" s="294">
        <f t="shared" ref="P530" si="415">-MIN(SUM(P528:P529),P526)</f>
        <v>0</v>
      </c>
      <c r="Q530" s="294">
        <f t="shared" ref="Q530" si="416">-MIN(SUM(Q528:Q529),Q526)</f>
        <v>0</v>
      </c>
      <c r="R530" s="294">
        <f t="shared" ref="R530" si="417">-MIN(SUM(R528:R529),R526)</f>
        <v>0</v>
      </c>
      <c r="S530" s="294">
        <f t="shared" ref="S530" si="418">-MIN(SUM(S528:S529),S526)</f>
        <v>0</v>
      </c>
      <c r="T530" s="294">
        <f t="shared" ref="T530" si="419">-MIN(SUM(T528:T529),T526)</f>
        <v>0</v>
      </c>
      <c r="U530" s="294">
        <f t="shared" ref="U530" si="420">-MIN(SUM(U528:U529),U526)</f>
        <v>0</v>
      </c>
      <c r="V530" s="294">
        <f t="shared" ref="V530" si="421">-MIN(SUM(V528:V529),V526)</f>
        <v>0</v>
      </c>
      <c r="W530" s="294">
        <f t="shared" ref="W530" si="422">-MIN(SUM(W528:W529),W526)</f>
        <v>0</v>
      </c>
      <c r="X530" s="294">
        <f t="shared" ref="X530" si="423">-MIN(SUM(X528:X529),X526)</f>
        <v>0</v>
      </c>
    </row>
    <row r="531" spans="1:24" outlineLevel="1">
      <c r="B531" s="269" t="s">
        <v>900</v>
      </c>
      <c r="C531" s="211" t="s">
        <v>67</v>
      </c>
      <c r="O531" s="626">
        <f>+SUM(O528:O530)</f>
        <v>0</v>
      </c>
      <c r="P531" s="219">
        <f t="shared" ref="P531" si="424">+SUM(P528:P530)</f>
        <v>0</v>
      </c>
      <c r="Q531" s="219">
        <f t="shared" ref="Q531" si="425">+SUM(Q528:Q530)</f>
        <v>0</v>
      </c>
      <c r="R531" s="219">
        <f t="shared" ref="R531" si="426">+SUM(R528:R530)</f>
        <v>0</v>
      </c>
      <c r="S531" s="219">
        <f t="shared" ref="S531" si="427">+SUM(S528:S530)</f>
        <v>0</v>
      </c>
      <c r="T531" s="219">
        <f t="shared" ref="T531" si="428">+SUM(T528:T530)</f>
        <v>0</v>
      </c>
      <c r="U531" s="219">
        <f t="shared" ref="U531" si="429">+SUM(U528:U530)</f>
        <v>0</v>
      </c>
      <c r="V531" s="219">
        <f t="shared" ref="V531" si="430">+SUM(V528:V530)</f>
        <v>0</v>
      </c>
      <c r="W531" s="219">
        <f t="shared" ref="W531" si="431">+SUM(W528:W530)</f>
        <v>0</v>
      </c>
      <c r="X531" s="219">
        <f t="shared" ref="X531" si="432">+SUM(X528:X530)</f>
        <v>0</v>
      </c>
    </row>
    <row r="532" spans="1:24" outlineLevel="1"/>
    <row r="533" spans="1:24" s="213" customFormat="1" outlineLevel="1">
      <c r="B533" s="213" t="s">
        <v>826</v>
      </c>
      <c r="C533" s="211" t="s">
        <v>67</v>
      </c>
      <c r="D533" s="219">
        <f>+SUM(O533:X533)</f>
        <v>0</v>
      </c>
      <c r="H533" s="624">
        <v>0</v>
      </c>
      <c r="I533" s="213">
        <v>0</v>
      </c>
      <c r="J533" s="213">
        <v>0</v>
      </c>
      <c r="K533" s="213">
        <v>0</v>
      </c>
      <c r="M533" s="213">
        <v>0</v>
      </c>
      <c r="N533" s="739"/>
      <c r="O533" s="626">
        <f>+O525+O530</f>
        <v>0</v>
      </c>
      <c r="P533" s="219">
        <f t="shared" ref="P533:X533" si="433">+P525+P530</f>
        <v>0</v>
      </c>
      <c r="Q533" s="219">
        <f t="shared" si="433"/>
        <v>0</v>
      </c>
      <c r="R533" s="219">
        <f t="shared" si="433"/>
        <v>0</v>
      </c>
      <c r="S533" s="219">
        <f t="shared" si="433"/>
        <v>0</v>
      </c>
      <c r="T533" s="219">
        <f t="shared" si="433"/>
        <v>0</v>
      </c>
      <c r="U533" s="219">
        <f t="shared" si="433"/>
        <v>0</v>
      </c>
      <c r="V533" s="219">
        <f t="shared" si="433"/>
        <v>0</v>
      </c>
      <c r="W533" s="219">
        <f t="shared" si="433"/>
        <v>0</v>
      </c>
      <c r="X533" s="219">
        <f t="shared" si="433"/>
        <v>0</v>
      </c>
    </row>
    <row r="535" spans="1:24" ht="17" thickBot="1">
      <c r="A535" s="177" t="s">
        <v>10</v>
      </c>
      <c r="B535" s="610" t="s">
        <v>827</v>
      </c>
      <c r="C535" s="611"/>
      <c r="D535" s="610"/>
      <c r="E535" s="610"/>
      <c r="F535" s="610"/>
      <c r="G535" s="610"/>
      <c r="H535" s="612"/>
      <c r="I535" s="610"/>
      <c r="J535" s="610"/>
      <c r="K535" s="610"/>
      <c r="L535" s="610"/>
      <c r="M535" s="610"/>
      <c r="N535" s="613"/>
      <c r="O535" s="613"/>
      <c r="P535" s="610"/>
      <c r="Q535" s="610"/>
      <c r="R535" s="610"/>
      <c r="S535" s="610"/>
      <c r="T535" s="610"/>
      <c r="U535" s="610"/>
      <c r="V535" s="610"/>
      <c r="W535" s="610"/>
      <c r="X535" s="610"/>
    </row>
    <row r="536" spans="1:24" outlineLevel="1"/>
    <row r="537" spans="1:24" outlineLevel="1">
      <c r="B537" s="213" t="s">
        <v>828</v>
      </c>
    </row>
    <row r="538" spans="1:24" outlineLevel="1">
      <c r="B538" s="184" t="s">
        <v>771</v>
      </c>
      <c r="C538" s="182" t="s">
        <v>67</v>
      </c>
      <c r="O538" s="651">
        <f t="shared" ref="O538:X538" si="434">-O349</f>
        <v>-30.056270657142807</v>
      </c>
      <c r="P538" s="201">
        <f t="shared" si="434"/>
        <v>0</v>
      </c>
      <c r="Q538" s="201">
        <f t="shared" si="434"/>
        <v>-2.8768739859091954</v>
      </c>
      <c r="R538" s="201">
        <f t="shared" si="434"/>
        <v>-2.7837769332069029</v>
      </c>
      <c r="S538" s="201">
        <f t="shared" si="434"/>
        <v>-1.8254333122070443</v>
      </c>
      <c r="T538" s="201">
        <f t="shared" si="434"/>
        <v>0</v>
      </c>
      <c r="U538" s="201">
        <f t="shared" si="434"/>
        <v>0</v>
      </c>
      <c r="V538" s="201">
        <f t="shared" si="434"/>
        <v>0</v>
      </c>
      <c r="W538" s="201">
        <f t="shared" si="434"/>
        <v>0</v>
      </c>
      <c r="X538" s="201">
        <f t="shared" si="434"/>
        <v>0</v>
      </c>
    </row>
    <row r="539" spans="1:24" outlineLevel="1">
      <c r="B539" s="184" t="str">
        <f>+B381</f>
        <v>Invested Capital + Prefered Return</v>
      </c>
      <c r="C539" s="182" t="s">
        <v>67</v>
      </c>
      <c r="O539" s="605">
        <f t="shared" ref="O539:X539" si="435">-O366</f>
        <v>0</v>
      </c>
      <c r="P539" s="201">
        <f t="shared" si="435"/>
        <v>0</v>
      </c>
      <c r="Q539" s="201">
        <f t="shared" si="435"/>
        <v>0</v>
      </c>
      <c r="R539" s="201">
        <f t="shared" si="435"/>
        <v>0</v>
      </c>
      <c r="S539" s="201">
        <f t="shared" si="435"/>
        <v>52.55929684385233</v>
      </c>
      <c r="T539" s="201">
        <f t="shared" si="435"/>
        <v>0</v>
      </c>
      <c r="U539" s="201">
        <f t="shared" si="435"/>
        <v>0</v>
      </c>
      <c r="V539" s="201">
        <f t="shared" si="435"/>
        <v>0</v>
      </c>
      <c r="W539" s="201">
        <f t="shared" si="435"/>
        <v>0</v>
      </c>
      <c r="X539" s="201">
        <f t="shared" si="435"/>
        <v>0</v>
      </c>
    </row>
    <row r="540" spans="1:24" outlineLevel="1">
      <c r="B540" s="795" t="str">
        <f>"Step 3 Distribution up to "&amp;D407&amp;"x @"&amp;D415</f>
        <v>Step 3 Distribution up to 2.5x @0.8</v>
      </c>
      <c r="C540" s="182" t="s">
        <v>67</v>
      </c>
      <c r="O540" s="651">
        <f t="shared" ref="O540:X540" si="436">-O433</f>
        <v>0</v>
      </c>
      <c r="P540" s="201">
        <f t="shared" si="436"/>
        <v>0</v>
      </c>
      <c r="Q540" s="201">
        <f t="shared" si="436"/>
        <v>0</v>
      </c>
      <c r="R540" s="201">
        <f t="shared" si="436"/>
        <v>0</v>
      </c>
      <c r="S540" s="201">
        <f t="shared" si="436"/>
        <v>41.296590377312555</v>
      </c>
      <c r="T540" s="201">
        <f t="shared" si="436"/>
        <v>0</v>
      </c>
      <c r="U540" s="201">
        <f t="shared" si="436"/>
        <v>0</v>
      </c>
      <c r="V540" s="201">
        <f t="shared" si="436"/>
        <v>0</v>
      </c>
      <c r="W540" s="201">
        <f t="shared" si="436"/>
        <v>0</v>
      </c>
      <c r="X540" s="201">
        <f t="shared" si="436"/>
        <v>0</v>
      </c>
    </row>
    <row r="541" spans="1:24" outlineLevel="1">
      <c r="B541" s="184" t="str">
        <f>"Step 4 Distribution up to "&amp;D453&amp;"x @"&amp;D461</f>
        <v>Step 4 Distribution up to 3.5x @0.75</v>
      </c>
      <c r="C541" s="182" t="s">
        <v>67</v>
      </c>
      <c r="O541" s="651">
        <f>-O482</f>
        <v>0</v>
      </c>
      <c r="P541" s="201">
        <f t="shared" ref="P541:X541" si="437">-P482</f>
        <v>0</v>
      </c>
      <c r="Q541" s="201">
        <f t="shared" si="437"/>
        <v>0</v>
      </c>
      <c r="R541" s="201">
        <f t="shared" si="437"/>
        <v>0</v>
      </c>
      <c r="S541" s="201">
        <f t="shared" si="437"/>
        <v>12.50652759147</v>
      </c>
      <c r="T541" s="201">
        <f t="shared" si="437"/>
        <v>0</v>
      </c>
      <c r="U541" s="201">
        <f t="shared" si="437"/>
        <v>0</v>
      </c>
      <c r="V541" s="201">
        <f t="shared" si="437"/>
        <v>0</v>
      </c>
      <c r="W541" s="201">
        <f t="shared" si="437"/>
        <v>0</v>
      </c>
      <c r="X541" s="201">
        <f t="shared" si="437"/>
        <v>0</v>
      </c>
    </row>
    <row r="542" spans="1:24" outlineLevel="1">
      <c r="B542" s="216" t="str">
        <f>"Step 5 Resting Distributions @"&amp;D504</f>
        <v>Step 5 Resting Distributions @0.7</v>
      </c>
      <c r="C542" s="208" t="s">
        <v>67</v>
      </c>
      <c r="D542" s="292"/>
      <c r="E542" s="292"/>
      <c r="F542" s="292"/>
      <c r="G542" s="292"/>
      <c r="H542" s="631"/>
      <c r="I542" s="292"/>
      <c r="J542" s="292"/>
      <c r="K542" s="292"/>
      <c r="L542" s="292"/>
      <c r="M542" s="292"/>
      <c r="N542" s="649"/>
      <c r="O542" s="632">
        <f>-O517</f>
        <v>0</v>
      </c>
      <c r="P542" s="294">
        <f t="shared" ref="P542:X542" si="438">-P517</f>
        <v>0</v>
      </c>
      <c r="Q542" s="294">
        <f t="shared" si="438"/>
        <v>0</v>
      </c>
      <c r="R542" s="294">
        <f t="shared" si="438"/>
        <v>0</v>
      </c>
      <c r="S542" s="294">
        <f t="shared" si="438"/>
        <v>0</v>
      </c>
      <c r="T542" s="294">
        <f t="shared" si="438"/>
        <v>0</v>
      </c>
      <c r="U542" s="294">
        <f t="shared" si="438"/>
        <v>0</v>
      </c>
      <c r="V542" s="294">
        <f t="shared" si="438"/>
        <v>0</v>
      </c>
      <c r="W542" s="294">
        <f t="shared" si="438"/>
        <v>0</v>
      </c>
      <c r="X542" s="294">
        <f t="shared" si="438"/>
        <v>0</v>
      </c>
    </row>
    <row r="543" spans="1:24" s="213" customFormat="1" outlineLevel="1">
      <c r="B543" s="213" t="s">
        <v>829</v>
      </c>
      <c r="C543" s="211" t="s">
        <v>67</v>
      </c>
      <c r="H543" s="624"/>
      <c r="N543" s="739"/>
      <c r="O543" s="626">
        <f>+SUM(O538:O542)</f>
        <v>-30.056270657142807</v>
      </c>
      <c r="P543" s="219">
        <f t="shared" ref="P543:X543" si="439">+SUM(P538:P542)</f>
        <v>0</v>
      </c>
      <c r="Q543" s="219">
        <f t="shared" si="439"/>
        <v>-2.8768739859091954</v>
      </c>
      <c r="R543" s="219">
        <f t="shared" si="439"/>
        <v>-2.7837769332069029</v>
      </c>
      <c r="S543" s="219">
        <f t="shared" si="439"/>
        <v>104.53698150042784</v>
      </c>
      <c r="T543" s="219">
        <f t="shared" si="439"/>
        <v>0</v>
      </c>
      <c r="U543" s="219">
        <f t="shared" si="439"/>
        <v>0</v>
      </c>
      <c r="V543" s="219">
        <f t="shared" si="439"/>
        <v>0</v>
      </c>
      <c r="W543" s="219">
        <f t="shared" si="439"/>
        <v>0</v>
      </c>
      <c r="X543" s="219">
        <f t="shared" si="439"/>
        <v>0</v>
      </c>
    </row>
    <row r="544" spans="1:24" outlineLevel="1"/>
    <row r="545" spans="2:24" s="240" customFormat="1" outlineLevel="1">
      <c r="B545" s="507" t="s">
        <v>830</v>
      </c>
      <c r="C545" s="182" t="s">
        <v>14</v>
      </c>
      <c r="D545" s="243">
        <f>+IRR(O543:X543)</f>
        <v>0.33575782100732843</v>
      </c>
      <c r="H545" s="736"/>
      <c r="N545" s="737"/>
      <c r="O545" s="737"/>
    </row>
    <row r="546" spans="2:24" s="240" customFormat="1" outlineLevel="1">
      <c r="B546" s="507" t="s">
        <v>831</v>
      </c>
      <c r="C546" s="182" t="s">
        <v>14</v>
      </c>
      <c r="D546" s="407">
        <f>+SUM(O539:X542)/-SUM(O538:X538)</f>
        <v>2.8331311429084693</v>
      </c>
      <c r="H546" s="736"/>
      <c r="N546" s="737"/>
      <c r="O546" s="737"/>
      <c r="S546" s="405"/>
    </row>
    <row r="547" spans="2:24" outlineLevel="1"/>
    <row r="548" spans="2:24" outlineLevel="1">
      <c r="B548" s="213" t="s">
        <v>832</v>
      </c>
    </row>
    <row r="549" spans="2:24" outlineLevel="1">
      <c r="B549" s="184" t="str">
        <f>+B538</f>
        <v>Invested Capital</v>
      </c>
      <c r="C549" s="182" t="s">
        <v>67</v>
      </c>
      <c r="O549" s="651">
        <f t="shared" ref="O549:X549" si="440">-O350</f>
        <v>-3.3395856285714234</v>
      </c>
      <c r="P549" s="201">
        <f t="shared" si="440"/>
        <v>0</v>
      </c>
      <c r="Q549" s="201">
        <f t="shared" si="440"/>
        <v>-0.31965266510102175</v>
      </c>
      <c r="R549" s="201">
        <f t="shared" si="440"/>
        <v>-0.3093085481341003</v>
      </c>
      <c r="S549" s="201">
        <f t="shared" si="440"/>
        <v>-0.20282592357856047</v>
      </c>
      <c r="T549" s="201">
        <f t="shared" si="440"/>
        <v>0</v>
      </c>
      <c r="U549" s="201">
        <f t="shared" si="440"/>
        <v>0</v>
      </c>
      <c r="V549" s="201">
        <f t="shared" si="440"/>
        <v>0</v>
      </c>
      <c r="W549" s="201">
        <f t="shared" si="440"/>
        <v>0</v>
      </c>
      <c r="X549" s="201">
        <f t="shared" si="440"/>
        <v>0</v>
      </c>
    </row>
    <row r="550" spans="2:24" outlineLevel="1">
      <c r="B550" s="184" t="str">
        <f>+B539</f>
        <v>Invested Capital + Prefered Return</v>
      </c>
      <c r="C550" s="182" t="s">
        <v>67</v>
      </c>
      <c r="O550" s="651">
        <f t="shared" ref="O550:X550" si="441">-O374</f>
        <v>0</v>
      </c>
      <c r="P550" s="201">
        <f t="shared" si="441"/>
        <v>0</v>
      </c>
      <c r="Q550" s="201">
        <f t="shared" si="441"/>
        <v>0</v>
      </c>
      <c r="R550" s="201">
        <f t="shared" si="441"/>
        <v>0</v>
      </c>
      <c r="S550" s="201">
        <f t="shared" si="441"/>
        <v>5.8399218715391488</v>
      </c>
      <c r="T550" s="201">
        <f t="shared" si="441"/>
        <v>0</v>
      </c>
      <c r="U550" s="201">
        <f t="shared" si="441"/>
        <v>0</v>
      </c>
      <c r="V550" s="201">
        <f t="shared" si="441"/>
        <v>0</v>
      </c>
      <c r="W550" s="201">
        <f t="shared" si="441"/>
        <v>0</v>
      </c>
      <c r="X550" s="201">
        <f t="shared" si="441"/>
        <v>0</v>
      </c>
    </row>
    <row r="551" spans="2:24" outlineLevel="1">
      <c r="B551" s="184" t="str">
        <f>+B540</f>
        <v>Step 3 Distribution up to 2.5x @0.8</v>
      </c>
      <c r="C551" s="182" t="s">
        <v>67</v>
      </c>
      <c r="O551" s="651">
        <f t="shared" ref="O551:X551" si="442">-O438</f>
        <v>0</v>
      </c>
      <c r="P551" s="201">
        <f t="shared" si="442"/>
        <v>0</v>
      </c>
      <c r="Q551" s="201">
        <f t="shared" si="442"/>
        <v>0</v>
      </c>
      <c r="R551" s="201">
        <f t="shared" si="442"/>
        <v>0</v>
      </c>
      <c r="S551" s="201">
        <f t="shared" si="442"/>
        <v>4.5885100419236178</v>
      </c>
      <c r="T551" s="201">
        <f t="shared" si="442"/>
        <v>0</v>
      </c>
      <c r="U551" s="201">
        <f t="shared" si="442"/>
        <v>0</v>
      </c>
      <c r="V551" s="201">
        <f t="shared" si="442"/>
        <v>0</v>
      </c>
      <c r="W551" s="201">
        <f t="shared" si="442"/>
        <v>0</v>
      </c>
      <c r="X551" s="201">
        <f t="shared" si="442"/>
        <v>0</v>
      </c>
    </row>
    <row r="552" spans="2:24" outlineLevel="1">
      <c r="B552" s="184" t="str">
        <f>+B541</f>
        <v>Step 4 Distribution up to 3.5x @0.75</v>
      </c>
      <c r="C552" s="182" t="s">
        <v>67</v>
      </c>
      <c r="O552" s="651">
        <f>-O487</f>
        <v>0</v>
      </c>
      <c r="P552" s="201">
        <f t="shared" ref="P552:X552" si="443">-P487</f>
        <v>0</v>
      </c>
      <c r="Q552" s="201">
        <f t="shared" si="443"/>
        <v>0</v>
      </c>
      <c r="R552" s="201">
        <f t="shared" si="443"/>
        <v>0</v>
      </c>
      <c r="S552" s="201">
        <f t="shared" si="443"/>
        <v>1.3896141768299994</v>
      </c>
      <c r="T552" s="201">
        <f t="shared" si="443"/>
        <v>0</v>
      </c>
      <c r="U552" s="201">
        <f t="shared" si="443"/>
        <v>0</v>
      </c>
      <c r="V552" s="201">
        <f t="shared" si="443"/>
        <v>0</v>
      </c>
      <c r="W552" s="201">
        <f t="shared" si="443"/>
        <v>0</v>
      </c>
      <c r="X552" s="201">
        <f t="shared" si="443"/>
        <v>0</v>
      </c>
    </row>
    <row r="553" spans="2:24" outlineLevel="1">
      <c r="B553" s="216" t="str">
        <f>+B542</f>
        <v>Step 5 Resting Distributions @0.7</v>
      </c>
      <c r="C553" s="208" t="s">
        <v>67</v>
      </c>
      <c r="D553" s="292"/>
      <c r="E553" s="292"/>
      <c r="F553" s="292"/>
      <c r="G553" s="292"/>
      <c r="H553" s="631"/>
      <c r="I553" s="292"/>
      <c r="J553" s="292"/>
      <c r="K553" s="292"/>
      <c r="L553" s="292"/>
      <c r="M553" s="292"/>
      <c r="N553" s="649"/>
      <c r="O553" s="632">
        <f>-O522</f>
        <v>0</v>
      </c>
      <c r="P553" s="294">
        <f t="shared" ref="P553:X553" si="444">-P522</f>
        <v>0</v>
      </c>
      <c r="Q553" s="294">
        <f t="shared" si="444"/>
        <v>0</v>
      </c>
      <c r="R553" s="294">
        <f t="shared" si="444"/>
        <v>0</v>
      </c>
      <c r="S553" s="294">
        <f>-S522</f>
        <v>0</v>
      </c>
      <c r="T553" s="294">
        <f t="shared" si="444"/>
        <v>0</v>
      </c>
      <c r="U553" s="294">
        <f t="shared" si="444"/>
        <v>0</v>
      </c>
      <c r="V553" s="294">
        <f t="shared" si="444"/>
        <v>0</v>
      </c>
      <c r="W553" s="294">
        <f t="shared" si="444"/>
        <v>0</v>
      </c>
      <c r="X553" s="294">
        <f t="shared" si="444"/>
        <v>0</v>
      </c>
    </row>
    <row r="554" spans="2:24" s="213" customFormat="1" outlineLevel="1">
      <c r="B554" s="213" t="s">
        <v>840</v>
      </c>
      <c r="C554" s="211" t="s">
        <v>67</v>
      </c>
      <c r="H554" s="624"/>
      <c r="N554" s="739"/>
      <c r="O554" s="626">
        <f>+SUM(O549:O553)</f>
        <v>-3.3395856285714234</v>
      </c>
      <c r="P554" s="219">
        <f t="shared" ref="P554:X554" si="445">+SUM(P549:P553)</f>
        <v>0</v>
      </c>
      <c r="Q554" s="219">
        <f t="shared" si="445"/>
        <v>-0.31965266510102175</v>
      </c>
      <c r="R554" s="219">
        <f t="shared" si="445"/>
        <v>-0.3093085481341003</v>
      </c>
      <c r="S554" s="219">
        <f t="shared" si="445"/>
        <v>11.615220166714206</v>
      </c>
      <c r="T554" s="219">
        <f t="shared" si="445"/>
        <v>0</v>
      </c>
      <c r="U554" s="219">
        <f t="shared" si="445"/>
        <v>0</v>
      </c>
      <c r="V554" s="219">
        <f t="shared" si="445"/>
        <v>0</v>
      </c>
      <c r="W554" s="219">
        <f t="shared" si="445"/>
        <v>0</v>
      </c>
      <c r="X554" s="219">
        <f t="shared" si="445"/>
        <v>0</v>
      </c>
    </row>
    <row r="555" spans="2:24" outlineLevel="1">
      <c r="B555" s="184" t="s">
        <v>845</v>
      </c>
      <c r="C555" s="182" t="s">
        <v>67</v>
      </c>
      <c r="O555" s="651">
        <f t="shared" ref="O555:X555" si="446">-O391</f>
        <v>0</v>
      </c>
      <c r="P555" s="201">
        <f t="shared" si="446"/>
        <v>0</v>
      </c>
      <c r="Q555" s="201">
        <f t="shared" si="446"/>
        <v>0</v>
      </c>
      <c r="R555" s="201">
        <f t="shared" si="446"/>
        <v>0</v>
      </c>
      <c r="S555" s="201">
        <f t="shared" si="446"/>
        <v>4.1713727653851045</v>
      </c>
      <c r="T555" s="201">
        <f t="shared" si="446"/>
        <v>0</v>
      </c>
      <c r="U555" s="201">
        <f t="shared" si="446"/>
        <v>0</v>
      </c>
      <c r="V555" s="201">
        <f t="shared" si="446"/>
        <v>0</v>
      </c>
      <c r="W555" s="201">
        <f t="shared" si="446"/>
        <v>0</v>
      </c>
      <c r="X555" s="201">
        <f t="shared" si="446"/>
        <v>0</v>
      </c>
    </row>
    <row r="556" spans="2:24" outlineLevel="1">
      <c r="B556" s="184" t="s">
        <v>843</v>
      </c>
      <c r="C556" s="182" t="s">
        <v>67</v>
      </c>
      <c r="O556" s="651">
        <f t="shared" ref="O556:X556" si="447">-O446</f>
        <v>0</v>
      </c>
      <c r="P556" s="201">
        <f t="shared" si="447"/>
        <v>0</v>
      </c>
      <c r="Q556" s="201">
        <f t="shared" si="447"/>
        <v>0</v>
      </c>
      <c r="R556" s="201">
        <f t="shared" si="447"/>
        <v>0</v>
      </c>
      <c r="S556" s="201">
        <f t="shared" si="447"/>
        <v>11.47127510480904</v>
      </c>
      <c r="T556" s="201">
        <f t="shared" si="447"/>
        <v>0</v>
      </c>
      <c r="U556" s="201">
        <f t="shared" si="447"/>
        <v>0</v>
      </c>
      <c r="V556" s="201">
        <f t="shared" si="447"/>
        <v>0</v>
      </c>
      <c r="W556" s="201">
        <f t="shared" si="447"/>
        <v>0</v>
      </c>
      <c r="X556" s="201">
        <f t="shared" si="447"/>
        <v>0</v>
      </c>
    </row>
    <row r="557" spans="2:24" outlineLevel="1">
      <c r="B557" s="184" t="s">
        <v>844</v>
      </c>
      <c r="C557" s="182" t="s">
        <v>67</v>
      </c>
      <c r="O557" s="651">
        <f>-O495</f>
        <v>0</v>
      </c>
      <c r="P557" s="201">
        <f t="shared" ref="P557:X557" si="448">-P495</f>
        <v>0</v>
      </c>
      <c r="Q557" s="201">
        <f t="shared" si="448"/>
        <v>0</v>
      </c>
      <c r="R557" s="201">
        <f t="shared" si="448"/>
        <v>0</v>
      </c>
      <c r="S557" s="201">
        <f>-S495</f>
        <v>4.6320472560999999</v>
      </c>
      <c r="T557" s="201">
        <f t="shared" si="448"/>
        <v>0</v>
      </c>
      <c r="U557" s="201">
        <f t="shared" si="448"/>
        <v>0</v>
      </c>
      <c r="V557" s="201">
        <f t="shared" si="448"/>
        <v>0</v>
      </c>
      <c r="W557" s="201">
        <f t="shared" si="448"/>
        <v>0</v>
      </c>
      <c r="X557" s="201">
        <f t="shared" si="448"/>
        <v>0</v>
      </c>
    </row>
    <row r="558" spans="2:24" outlineLevel="1">
      <c r="B558" s="216" t="s">
        <v>846</v>
      </c>
      <c r="C558" s="208" t="s">
        <v>67</v>
      </c>
      <c r="D558" s="292"/>
      <c r="E558" s="292"/>
      <c r="F558" s="292"/>
      <c r="G558" s="292"/>
      <c r="H558" s="631"/>
      <c r="I558" s="292"/>
      <c r="J558" s="292"/>
      <c r="K558" s="292"/>
      <c r="L558" s="292"/>
      <c r="M558" s="292"/>
      <c r="N558" s="649"/>
      <c r="O558" s="632">
        <f>-O530</f>
        <v>0</v>
      </c>
      <c r="P558" s="294">
        <f t="shared" ref="P558:X558" si="449">-P530</f>
        <v>0</v>
      </c>
      <c r="Q558" s="294">
        <f t="shared" si="449"/>
        <v>0</v>
      </c>
      <c r="R558" s="294">
        <f t="shared" si="449"/>
        <v>0</v>
      </c>
      <c r="S558" s="294">
        <f t="shared" si="449"/>
        <v>0</v>
      </c>
      <c r="T558" s="294">
        <f t="shared" si="449"/>
        <v>0</v>
      </c>
      <c r="U558" s="294">
        <f t="shared" si="449"/>
        <v>0</v>
      </c>
      <c r="V558" s="294">
        <f t="shared" si="449"/>
        <v>0</v>
      </c>
      <c r="W558" s="294">
        <f t="shared" si="449"/>
        <v>0</v>
      </c>
      <c r="X558" s="294">
        <f t="shared" si="449"/>
        <v>0</v>
      </c>
    </row>
    <row r="559" spans="2:24" outlineLevel="1">
      <c r="B559" s="213" t="s">
        <v>847</v>
      </c>
      <c r="C559" s="211" t="s">
        <v>67</v>
      </c>
      <c r="O559" s="626">
        <f>+SUM(O554:O558)</f>
        <v>-3.3395856285714234</v>
      </c>
      <c r="P559" s="219">
        <f t="shared" ref="P559:X559" si="450">+SUM(P554:P558)</f>
        <v>0</v>
      </c>
      <c r="Q559" s="219">
        <f t="shared" si="450"/>
        <v>-0.31965266510102175</v>
      </c>
      <c r="R559" s="219">
        <f t="shared" si="450"/>
        <v>-0.3093085481341003</v>
      </c>
      <c r="S559" s="219">
        <f t="shared" si="450"/>
        <v>31.88991529300835</v>
      </c>
      <c r="T559" s="219">
        <f t="shared" si="450"/>
        <v>0</v>
      </c>
      <c r="U559" s="219">
        <f t="shared" si="450"/>
        <v>0</v>
      </c>
      <c r="V559" s="219">
        <f t="shared" si="450"/>
        <v>0</v>
      </c>
      <c r="W559" s="219">
        <f t="shared" si="450"/>
        <v>0</v>
      </c>
      <c r="X559" s="219">
        <f t="shared" si="450"/>
        <v>0</v>
      </c>
    </row>
    <row r="560" spans="2:24" outlineLevel="1"/>
    <row r="561" spans="1:24" outlineLevel="1">
      <c r="B561" s="507" t="s">
        <v>841</v>
      </c>
      <c r="C561" s="182" t="s">
        <v>14</v>
      </c>
      <c r="D561" s="243">
        <f>+IRR(O554:X554)</f>
        <v>0.33575782100732843</v>
      </c>
    </row>
    <row r="562" spans="1:24" outlineLevel="1">
      <c r="B562" s="507" t="s">
        <v>842</v>
      </c>
      <c r="C562" s="182" t="s">
        <v>14</v>
      </c>
      <c r="D562" s="407">
        <f>+SUM(O550:X553)/-SUM(O549:X549)</f>
        <v>2.8331311429084689</v>
      </c>
    </row>
    <row r="563" spans="1:24" outlineLevel="1"/>
    <row r="564" spans="1:24" outlineLevel="1">
      <c r="B564" s="507" t="s">
        <v>848</v>
      </c>
      <c r="C564" s="182" t="s">
        <v>14</v>
      </c>
      <c r="D564" s="243">
        <f>+IRR(O559:X559)</f>
        <v>0.73681686632134347</v>
      </c>
    </row>
    <row r="565" spans="1:24" outlineLevel="1">
      <c r="B565" s="507" t="s">
        <v>849</v>
      </c>
      <c r="C565" s="182" t="s">
        <v>14</v>
      </c>
      <c r="D565" s="206">
        <f>+SUM(O555:X558,O550:X553)/-SUM(O549:X549)</f>
        <v>7.6935682859366983</v>
      </c>
    </row>
    <row r="566" spans="1:24" outlineLevel="1"/>
    <row r="567" spans="1:24" outlineLevel="1">
      <c r="B567" s="213" t="s">
        <v>850</v>
      </c>
    </row>
    <row r="568" spans="1:24" outlineLevel="1">
      <c r="B568" s="184" t="str">
        <f>+B543</f>
        <v>Limited Partners Cash Flow</v>
      </c>
      <c r="C568" s="182" t="s">
        <v>67</v>
      </c>
      <c r="O568" s="651">
        <f>+O543</f>
        <v>-30.056270657142807</v>
      </c>
      <c r="P568" s="201">
        <f t="shared" ref="P568:X568" si="451">+P543</f>
        <v>0</v>
      </c>
      <c r="Q568" s="201">
        <f t="shared" si="451"/>
        <v>-2.8768739859091954</v>
      </c>
      <c r="R568" s="201">
        <f t="shared" si="451"/>
        <v>-2.7837769332069029</v>
      </c>
      <c r="S568" s="201">
        <f t="shared" si="451"/>
        <v>104.53698150042784</v>
      </c>
      <c r="T568" s="201">
        <f t="shared" si="451"/>
        <v>0</v>
      </c>
      <c r="U568" s="201">
        <f t="shared" si="451"/>
        <v>0</v>
      </c>
      <c r="V568" s="201">
        <f t="shared" si="451"/>
        <v>0</v>
      </c>
      <c r="W568" s="201">
        <f t="shared" si="451"/>
        <v>0</v>
      </c>
      <c r="X568" s="201">
        <f t="shared" si="451"/>
        <v>0</v>
      </c>
    </row>
    <row r="569" spans="1:24" outlineLevel="1">
      <c r="B569" s="216" t="str">
        <f>+B559</f>
        <v>General Partners Cash Flow (Carried Interest Inc.)</v>
      </c>
      <c r="C569" s="208" t="s">
        <v>67</v>
      </c>
      <c r="D569" s="292"/>
      <c r="E569" s="292"/>
      <c r="F569" s="292"/>
      <c r="G569" s="292"/>
      <c r="H569" s="631"/>
      <c r="I569" s="292"/>
      <c r="J569" s="292"/>
      <c r="K569" s="292"/>
      <c r="L569" s="292"/>
      <c r="M569" s="292"/>
      <c r="N569" s="649"/>
      <c r="O569" s="632">
        <f>+O559</f>
        <v>-3.3395856285714234</v>
      </c>
      <c r="P569" s="294">
        <f t="shared" ref="P569:X569" si="452">+P559</f>
        <v>0</v>
      </c>
      <c r="Q569" s="294">
        <f t="shared" si="452"/>
        <v>-0.31965266510102175</v>
      </c>
      <c r="R569" s="294">
        <f t="shared" si="452"/>
        <v>-0.3093085481341003</v>
      </c>
      <c r="S569" s="294">
        <f t="shared" si="452"/>
        <v>31.88991529300835</v>
      </c>
      <c r="T569" s="294">
        <f t="shared" si="452"/>
        <v>0</v>
      </c>
      <c r="U569" s="294">
        <f t="shared" si="452"/>
        <v>0</v>
      </c>
      <c r="V569" s="294">
        <f t="shared" si="452"/>
        <v>0</v>
      </c>
      <c r="W569" s="294">
        <f t="shared" si="452"/>
        <v>0</v>
      </c>
      <c r="X569" s="294">
        <f t="shared" si="452"/>
        <v>0</v>
      </c>
    </row>
    <row r="570" spans="1:24" s="213" customFormat="1" outlineLevel="1">
      <c r="B570" s="213" t="s">
        <v>850</v>
      </c>
      <c r="C570" s="211" t="s">
        <v>67</v>
      </c>
      <c r="H570" s="624"/>
      <c r="N570" s="739"/>
      <c r="O570" s="626">
        <f>+SUM(O568:O569)</f>
        <v>-33.395856285714231</v>
      </c>
      <c r="P570" s="219">
        <f t="shared" ref="P570:X570" si="453">+SUM(P568:P569)</f>
        <v>0</v>
      </c>
      <c r="Q570" s="219">
        <f t="shared" si="453"/>
        <v>-3.1965266510102173</v>
      </c>
      <c r="R570" s="219">
        <f t="shared" si="453"/>
        <v>-3.0930854813410034</v>
      </c>
      <c r="S570" s="219">
        <f t="shared" si="453"/>
        <v>136.42689679343619</v>
      </c>
      <c r="T570" s="219">
        <f t="shared" si="453"/>
        <v>0</v>
      </c>
      <c r="U570" s="219">
        <f t="shared" si="453"/>
        <v>0</v>
      </c>
      <c r="V570" s="219">
        <f t="shared" si="453"/>
        <v>0</v>
      </c>
      <c r="W570" s="219">
        <f t="shared" si="453"/>
        <v>0</v>
      </c>
      <c r="X570" s="219">
        <f t="shared" si="453"/>
        <v>0</v>
      </c>
    </row>
    <row r="571" spans="1:24" outlineLevel="1">
      <c r="B571" s="401" t="s">
        <v>851</v>
      </c>
      <c r="C571" s="182" t="s">
        <v>7</v>
      </c>
      <c r="D571" s="796">
        <f>ROUND(SUM(O571:X571),10)</f>
        <v>0</v>
      </c>
      <c r="O571" s="793">
        <f>ROUND(+O570-O339,10)</f>
        <v>0</v>
      </c>
      <c r="P571" s="201">
        <f t="shared" ref="P571:X571" si="454">ROUND(+P570-P339,10)</f>
        <v>0</v>
      </c>
      <c r="Q571" s="201">
        <f t="shared" si="454"/>
        <v>0</v>
      </c>
      <c r="R571" s="201">
        <f t="shared" si="454"/>
        <v>0</v>
      </c>
      <c r="S571" s="201">
        <f t="shared" si="454"/>
        <v>0</v>
      </c>
      <c r="T571" s="201">
        <f t="shared" si="454"/>
        <v>0</v>
      </c>
      <c r="U571" s="201">
        <f t="shared" si="454"/>
        <v>0</v>
      </c>
      <c r="V571" s="201">
        <f t="shared" si="454"/>
        <v>0</v>
      </c>
      <c r="W571" s="201">
        <f t="shared" si="454"/>
        <v>0</v>
      </c>
      <c r="X571" s="201">
        <f t="shared" si="454"/>
        <v>0</v>
      </c>
    </row>
    <row r="572" spans="1:24" outlineLevel="1"/>
    <row r="573" spans="1:24" outlineLevel="1">
      <c r="B573" s="180" t="s">
        <v>166</v>
      </c>
      <c r="C573" s="182" t="s">
        <v>14</v>
      </c>
      <c r="D573" s="614">
        <f>+D341</f>
        <v>0.39345196829848961</v>
      </c>
    </row>
    <row r="574" spans="1:24" outlineLevel="1">
      <c r="B574" s="180" t="s">
        <v>167</v>
      </c>
      <c r="C574" s="182" t="s">
        <v>113</v>
      </c>
      <c r="D574" s="206">
        <f>+D342</f>
        <v>3.3191748572114497</v>
      </c>
    </row>
    <row r="576" spans="1:24" ht="17" thickBot="1">
      <c r="A576" s="177" t="s">
        <v>10</v>
      </c>
      <c r="B576" s="610" t="s">
        <v>855</v>
      </c>
      <c r="C576" s="611"/>
      <c r="D576" s="610"/>
      <c r="E576" s="610"/>
      <c r="F576" s="610"/>
      <c r="G576" s="610"/>
      <c r="H576" s="612"/>
      <c r="I576" s="610"/>
      <c r="J576" s="610"/>
      <c r="K576" s="610"/>
      <c r="L576" s="610"/>
      <c r="M576" s="610"/>
      <c r="N576" s="613"/>
      <c r="O576" s="613"/>
      <c r="P576" s="610"/>
      <c r="Q576" s="610"/>
      <c r="R576" s="610"/>
      <c r="S576" s="610"/>
      <c r="T576" s="610"/>
      <c r="U576" s="610"/>
      <c r="V576" s="610"/>
      <c r="W576" s="610"/>
      <c r="X576" s="610"/>
    </row>
    <row r="577" spans="2:15" outlineLevel="1">
      <c r="B577" s="184" t="s">
        <v>857</v>
      </c>
      <c r="C577" s="182" t="s">
        <v>67</v>
      </c>
      <c r="D577" s="201">
        <f>+SUM(O539:X542)+SUM(O538:X538)</f>
        <v>68.820059924168945</v>
      </c>
      <c r="E577" s="186"/>
    </row>
    <row r="578" spans="2:15" outlineLevel="1">
      <c r="B578" s="184" t="s">
        <v>858</v>
      </c>
      <c r="C578" s="182" t="s">
        <v>67</v>
      </c>
      <c r="D578" s="201">
        <f>+SUM(O550:X553)+SUM(O549:X549)</f>
        <v>7.6466733249076597</v>
      </c>
      <c r="E578" s="186"/>
    </row>
    <row r="579" spans="2:15" outlineLevel="1">
      <c r="B579" s="216" t="s">
        <v>859</v>
      </c>
      <c r="C579" s="208" t="s">
        <v>67</v>
      </c>
      <c r="D579" s="294">
        <f>+SUM(O555:X558)</f>
        <v>20.274695126294144</v>
      </c>
      <c r="E579" s="186"/>
    </row>
    <row r="580" spans="2:15" s="213" customFormat="1" outlineLevel="1">
      <c r="B580" s="213" t="s">
        <v>856</v>
      </c>
      <c r="C580" s="211" t="s">
        <v>67</v>
      </c>
      <c r="D580" s="219">
        <f>+SUM(D577:D579)</f>
        <v>96.741428375370759</v>
      </c>
      <c r="H580" s="624"/>
      <c r="N580" s="739"/>
      <c r="O580" s="739"/>
    </row>
    <row r="581" spans="2:15" outlineLevel="1"/>
    <row r="582" spans="2:15" s="240" customFormat="1" outlineLevel="1">
      <c r="B582" s="507" t="s">
        <v>861</v>
      </c>
      <c r="C582" s="182" t="s">
        <v>860</v>
      </c>
      <c r="D582" s="243">
        <f>+D579/D580</f>
        <v>0.20957613988936974</v>
      </c>
      <c r="H582" s="736"/>
      <c r="N582" s="737"/>
      <c r="O582" s="737"/>
    </row>
    <row r="583" spans="2:15">
      <c r="B583" s="50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9138-FCF6-4BEB-A13C-1111166BA742}">
  <sheetPr>
    <tabColor theme="0" tint="-0.249977111117893"/>
  </sheetPr>
  <dimension ref="A2:M85"/>
  <sheetViews>
    <sheetView showGridLines="0" zoomScale="150" zoomScaleNormal="150" workbookViewId="0">
      <selection activeCell="K5" sqref="K5"/>
    </sheetView>
  </sheetViews>
  <sheetFormatPr baseColWidth="10" defaultColWidth="8.6640625" defaultRowHeight="16" outlineLevelRow="1"/>
  <cols>
    <col min="1" max="1" width="2" style="180" bestFit="1" customWidth="1"/>
    <col min="2" max="2" width="30.1640625" style="180" bestFit="1" customWidth="1"/>
    <col min="3" max="3" width="5.6640625" style="372" bestFit="1" customWidth="1"/>
    <col min="4" max="4" width="13.1640625" style="180" bestFit="1" customWidth="1"/>
    <col min="5" max="7" width="12.1640625" style="180" bestFit="1" customWidth="1"/>
    <col min="8" max="8" width="5.1640625" style="180" bestFit="1" customWidth="1"/>
    <col min="9" max="9" width="13.6640625" style="767" customWidth="1"/>
    <col min="10" max="10" width="13.6640625" style="180" customWidth="1"/>
    <col min="11" max="11" width="10.83203125" style="180" bestFit="1" customWidth="1"/>
    <col min="12" max="13" width="10.6640625" style="180" bestFit="1" customWidth="1"/>
    <col min="14" max="16384" width="8.6640625" style="180"/>
  </cols>
  <sheetData>
    <row r="2" spans="1:12" ht="17" thickBot="1">
      <c r="A2" s="177" t="s">
        <v>10</v>
      </c>
      <c r="B2" s="610" t="s">
        <v>30</v>
      </c>
      <c r="C2" s="611"/>
      <c r="D2" s="610"/>
      <c r="E2" s="610"/>
      <c r="F2" s="610"/>
      <c r="G2" s="610"/>
      <c r="H2" s="610"/>
      <c r="I2" s="797"/>
    </row>
    <row r="4" spans="1:12">
      <c r="B4" s="798" t="s">
        <v>30</v>
      </c>
      <c r="C4" s="799" t="s">
        <v>12</v>
      </c>
      <c r="D4" s="800">
        <v>2020</v>
      </c>
      <c r="E4" s="800">
        <v>2021</v>
      </c>
      <c r="F4" s="800">
        <v>2022</v>
      </c>
      <c r="G4" s="800">
        <f>+F4+1</f>
        <v>2023</v>
      </c>
      <c r="I4" s="801" t="str">
        <f>"'20-'23 CAGR"</f>
        <v>'20-'23 CAGR</v>
      </c>
    </row>
    <row r="5" spans="1:12">
      <c r="B5" s="184" t="s">
        <v>63</v>
      </c>
      <c r="C5" s="182" t="s">
        <v>596</v>
      </c>
      <c r="D5" s="719">
        <v>19537390.199999999</v>
      </c>
      <c r="E5" s="719">
        <v>29874130.079999998</v>
      </c>
      <c r="F5" s="719">
        <v>39019757.800000004</v>
      </c>
      <c r="G5" s="719">
        <v>45929656.189999998</v>
      </c>
      <c r="I5" s="802">
        <f>(G5/D5)^(1/($G$4-$D$4))-1</f>
        <v>0.32966493112152162</v>
      </c>
    </row>
    <row r="6" spans="1:12">
      <c r="B6" s="216" t="s">
        <v>591</v>
      </c>
      <c r="C6" s="208" t="s">
        <v>596</v>
      </c>
      <c r="D6" s="722">
        <v>-7001125.2700000005</v>
      </c>
      <c r="E6" s="722">
        <v>-10618041.34</v>
      </c>
      <c r="F6" s="722">
        <v>-14389310.120000001</v>
      </c>
      <c r="G6" s="722">
        <v>-16397949.17</v>
      </c>
      <c r="I6" s="803">
        <f>(G6/D6)^(1/($G$4-$D$4))-1</f>
        <v>0.3280279919875011</v>
      </c>
    </row>
    <row r="7" spans="1:12" s="213" customFormat="1">
      <c r="B7" s="213" t="s">
        <v>64</v>
      </c>
      <c r="C7" s="211" t="s">
        <v>596</v>
      </c>
      <c r="D7" s="804">
        <f>SUM(D5:D6)</f>
        <v>12536264.93</v>
      </c>
      <c r="E7" s="804">
        <f>SUM(E5:E6)</f>
        <v>19256088.739999998</v>
      </c>
      <c r="F7" s="804">
        <f>SUM(F5:F6)</f>
        <v>24630447.680000003</v>
      </c>
      <c r="G7" s="804">
        <f>SUM(G5:G6)</f>
        <v>29531707.019999996</v>
      </c>
      <c r="I7" s="805">
        <f>(G7/D7)^(1/($G$4-$D$4))-1</f>
        <v>0.33057736093885182</v>
      </c>
    </row>
    <row r="8" spans="1:12">
      <c r="B8" s="184" t="s">
        <v>592</v>
      </c>
      <c r="C8" s="182" t="s">
        <v>596</v>
      </c>
      <c r="D8" s="719">
        <v>-940388.97</v>
      </c>
      <c r="E8" s="719">
        <v>-1226179.98</v>
      </c>
      <c r="F8" s="719">
        <v>-1601977.54</v>
      </c>
      <c r="G8" s="719">
        <v>-2052396.54</v>
      </c>
      <c r="I8" s="802">
        <f t="shared" ref="I8:I15" si="0">(G8/D8)^(1/($G$4-$D$4))-1</f>
        <v>0.29713322157597033</v>
      </c>
    </row>
    <row r="9" spans="1:12">
      <c r="B9" s="216" t="s">
        <v>593</v>
      </c>
      <c r="C9" s="208" t="s">
        <v>596</v>
      </c>
      <c r="D9" s="722">
        <v>-8896164.5899999999</v>
      </c>
      <c r="E9" s="722">
        <v>-11997251.51</v>
      </c>
      <c r="F9" s="722">
        <v>-15676955.35</v>
      </c>
      <c r="G9" s="722">
        <v>-19863776.600000001</v>
      </c>
      <c r="I9" s="803">
        <f t="shared" si="0"/>
        <v>0.3070323524971339</v>
      </c>
    </row>
    <row r="10" spans="1:12" s="213" customFormat="1">
      <c r="B10" s="213" t="s">
        <v>33</v>
      </c>
      <c r="C10" s="211" t="s">
        <v>596</v>
      </c>
      <c r="D10" s="804">
        <f>+SUM(D7:D9)</f>
        <v>2699711.3699999992</v>
      </c>
      <c r="E10" s="804">
        <f>+SUM(E7:E9)</f>
        <v>6032657.2499999981</v>
      </c>
      <c r="F10" s="804">
        <f>+SUM(F7:F9)</f>
        <v>7351514.7900000047</v>
      </c>
      <c r="G10" s="804">
        <f>+SUM(G7:G9)</f>
        <v>7615533.8799999952</v>
      </c>
      <c r="I10" s="805">
        <f t="shared" si="0"/>
        <v>0.41295286050724589</v>
      </c>
    </row>
    <row r="11" spans="1:12" s="213" customFormat="1">
      <c r="B11" s="184" t="s">
        <v>34</v>
      </c>
      <c r="C11" s="182" t="s">
        <v>596</v>
      </c>
      <c r="D11" s="719">
        <v>-321709.17</v>
      </c>
      <c r="E11" s="719">
        <v>-374895.28</v>
      </c>
      <c r="F11" s="719">
        <v>-519568.05</v>
      </c>
      <c r="G11" s="719">
        <v>-592783.54</v>
      </c>
      <c r="I11" s="805"/>
    </row>
    <row r="12" spans="1:12" s="806" customFormat="1">
      <c r="B12" s="807" t="s">
        <v>382</v>
      </c>
      <c r="C12" s="808" t="s">
        <v>596</v>
      </c>
      <c r="D12" s="809">
        <v>0</v>
      </c>
      <c r="E12" s="809">
        <v>0</v>
      </c>
      <c r="F12" s="809">
        <v>0</v>
      </c>
      <c r="G12" s="809">
        <v>0</v>
      </c>
      <c r="I12" s="810" t="str">
        <f>IFERROR((G12/D12)^(1/($G$4-$D$4))-1,"n.a.")</f>
        <v>n.a.</v>
      </c>
      <c r="K12" s="811" t="s">
        <v>616</v>
      </c>
    </row>
    <row r="13" spans="1:12" s="806" customFormat="1">
      <c r="B13" s="807" t="s">
        <v>438</v>
      </c>
      <c r="C13" s="808" t="s">
        <v>596</v>
      </c>
      <c r="D13" s="809">
        <v>0</v>
      </c>
      <c r="E13" s="809">
        <v>0</v>
      </c>
      <c r="F13" s="809">
        <v>0</v>
      </c>
      <c r="G13" s="809">
        <v>0</v>
      </c>
      <c r="I13" s="810" t="str">
        <f>IFERROR((G13/D13)^(1/($G$4-$D$4))-1,"n.a.")</f>
        <v>n.a.</v>
      </c>
      <c r="K13" s="811" t="s">
        <v>616</v>
      </c>
    </row>
    <row r="14" spans="1:12">
      <c r="B14" s="216" t="s">
        <v>594</v>
      </c>
      <c r="C14" s="208" t="s">
        <v>596</v>
      </c>
      <c r="D14" s="722">
        <v>30214</v>
      </c>
      <c r="E14" s="722">
        <v>1404921</v>
      </c>
      <c r="F14" s="722">
        <v>764056</v>
      </c>
      <c r="G14" s="722">
        <v>37727</v>
      </c>
      <c r="I14" s="803">
        <f t="shared" si="0"/>
        <v>7.6832155753941755E-2</v>
      </c>
    </row>
    <row r="15" spans="1:12">
      <c r="B15" s="213" t="s">
        <v>597</v>
      </c>
      <c r="C15" s="211" t="s">
        <v>596</v>
      </c>
      <c r="D15" s="804">
        <f>+SUM(D10:D14)</f>
        <v>2408216.1999999993</v>
      </c>
      <c r="E15" s="804">
        <f>+SUM(E10:E14)</f>
        <v>7062682.9699999979</v>
      </c>
      <c r="F15" s="804">
        <f>+SUM(F10:F14)</f>
        <v>7596002.7400000049</v>
      </c>
      <c r="G15" s="804">
        <f>+SUM(G10:G14)</f>
        <v>7060477.3399999952</v>
      </c>
      <c r="I15" s="805">
        <f t="shared" si="0"/>
        <v>0.43124131171244318</v>
      </c>
      <c r="K15" s="812" t="s">
        <v>168</v>
      </c>
    </row>
    <row r="16" spans="1:12" s="813" customFormat="1">
      <c r="B16" s="814" t="s">
        <v>38</v>
      </c>
      <c r="C16" s="815" t="s">
        <v>596</v>
      </c>
      <c r="D16" s="816">
        <f>+MAX(MIN(0,$K$16*-D15))</f>
        <v>-626136.21199999982</v>
      </c>
      <c r="E16" s="816">
        <f t="shared" ref="E16:G16" si="1">+MAX(MIN(0,$K$16*-E15))</f>
        <v>-1836297.5721999996</v>
      </c>
      <c r="F16" s="816">
        <f t="shared" si="1"/>
        <v>-1974960.7124000012</v>
      </c>
      <c r="G16" s="816">
        <f t="shared" si="1"/>
        <v>-1835724.1083999989</v>
      </c>
      <c r="I16" s="817"/>
      <c r="K16" s="818">
        <f>+Macros!E15</f>
        <v>0.26</v>
      </c>
      <c r="L16" s="811" t="s">
        <v>616</v>
      </c>
    </row>
    <row r="17" spans="1:9">
      <c r="B17" s="213" t="s">
        <v>595</v>
      </c>
      <c r="C17" s="211" t="s">
        <v>596</v>
      </c>
      <c r="D17" s="804">
        <f>+D15+D16</f>
        <v>1782079.9879999994</v>
      </c>
      <c r="E17" s="804">
        <f t="shared" ref="E17:G17" si="2">+E15+E16</f>
        <v>5226385.3977999985</v>
      </c>
      <c r="F17" s="804">
        <f t="shared" si="2"/>
        <v>5621042.0276000034</v>
      </c>
      <c r="G17" s="804">
        <f t="shared" si="2"/>
        <v>5224753.2315999959</v>
      </c>
      <c r="I17" s="805"/>
    </row>
    <row r="18" spans="1:9">
      <c r="B18" s="213"/>
      <c r="C18" s="211"/>
      <c r="D18" s="226"/>
      <c r="E18" s="226"/>
      <c r="F18" s="226"/>
      <c r="G18" s="226"/>
      <c r="I18" s="801" t="s">
        <v>619</v>
      </c>
    </row>
    <row r="19" spans="1:9">
      <c r="B19" s="401" t="s">
        <v>598</v>
      </c>
      <c r="C19" s="182" t="s">
        <v>14</v>
      </c>
      <c r="D19" s="819"/>
      <c r="E19" s="243">
        <f>+E5/D5-1</f>
        <v>0.52907475226655398</v>
      </c>
      <c r="F19" s="243">
        <f>+F5/E5-1</f>
        <v>0.3061387125084114</v>
      </c>
      <c r="G19" s="243">
        <f>+G5/F5-1</f>
        <v>0.17708716761947696</v>
      </c>
      <c r="I19" s="802">
        <f>+AVERAGE(D19:G19)</f>
        <v>0.3374335441314808</v>
      </c>
    </row>
    <row r="20" spans="1:9">
      <c r="B20" s="401" t="s">
        <v>62</v>
      </c>
      <c r="C20" s="182" t="s">
        <v>14</v>
      </c>
      <c r="D20" s="243">
        <f>+D7/D5</f>
        <v>0.64165504203319845</v>
      </c>
      <c r="E20" s="243">
        <f>+E7/E5</f>
        <v>0.64457404076483826</v>
      </c>
      <c r="F20" s="243">
        <f>+F7/F5</f>
        <v>0.63123015284323469</v>
      </c>
      <c r="G20" s="243">
        <f>+G7/G5</f>
        <v>0.64297687964034367</v>
      </c>
      <c r="I20" s="802">
        <f>+AVERAGE(D20:G20)</f>
        <v>0.64010902882040377</v>
      </c>
    </row>
    <row r="21" spans="1:9">
      <c r="B21" s="401" t="s">
        <v>620</v>
      </c>
      <c r="C21" s="182" t="s">
        <v>14</v>
      </c>
      <c r="D21" s="243">
        <f>+(D8+D9)/-D5</f>
        <v>0.50347326123424618</v>
      </c>
      <c r="E21" s="243">
        <f t="shared" ref="E21:G21" si="3">+(E8+E9)/-E5</f>
        <v>0.44263821087305116</v>
      </c>
      <c r="F21" s="243">
        <f t="shared" si="3"/>
        <v>0.44282522148305081</v>
      </c>
      <c r="G21" s="243">
        <f t="shared" si="3"/>
        <v>0.47716823851974932</v>
      </c>
      <c r="I21" s="802">
        <f>+AVERAGE(D21:G21)</f>
        <v>0.46652623302752438</v>
      </c>
    </row>
    <row r="22" spans="1:9">
      <c r="B22" s="401" t="s">
        <v>128</v>
      </c>
      <c r="C22" s="182" t="s">
        <v>14</v>
      </c>
      <c r="D22" s="243">
        <f>+D10/D7</f>
        <v>0.21535213120292596</v>
      </c>
      <c r="E22" s="243">
        <f>+E10/E7</f>
        <v>0.31328570051033111</v>
      </c>
      <c r="F22" s="243">
        <f>+F10/F7</f>
        <v>0.29847264189068951</v>
      </c>
      <c r="G22" s="243">
        <f>+G10/G7</f>
        <v>0.25787652149069695</v>
      </c>
      <c r="I22" s="802">
        <f>+AVERAGE(D22:G22)</f>
        <v>0.27124674877366084</v>
      </c>
    </row>
    <row r="23" spans="1:9">
      <c r="B23" s="401" t="s">
        <v>599</v>
      </c>
      <c r="C23" s="182" t="s">
        <v>14</v>
      </c>
      <c r="D23" s="243">
        <f>+D17/D5</f>
        <v>9.1213819745484717E-2</v>
      </c>
      <c r="E23" s="243">
        <f>+E17/E5</f>
        <v>0.17494686485612299</v>
      </c>
      <c r="F23" s="243">
        <f>+F17/F5</f>
        <v>0.14405630235869898</v>
      </c>
      <c r="G23" s="243">
        <f>+G17/G5</f>
        <v>0.11375554848454432</v>
      </c>
      <c r="I23" s="802">
        <f>+AVERAGE(D23:G23)</f>
        <v>0.13099313386121275</v>
      </c>
    </row>
    <row r="24" spans="1:9">
      <c r="B24" s="401"/>
      <c r="C24" s="182"/>
      <c r="D24" s="243"/>
      <c r="E24" s="243"/>
      <c r="F24" s="243"/>
      <c r="G24" s="243"/>
    </row>
    <row r="25" spans="1:9" ht="17" thickBot="1">
      <c r="A25" s="177" t="s">
        <v>10</v>
      </c>
      <c r="B25" s="610" t="str">
        <f>+B27</f>
        <v xml:space="preserve">Balance Sheet </v>
      </c>
      <c r="C25" s="611"/>
      <c r="D25" s="610"/>
      <c r="E25" s="610"/>
      <c r="F25" s="610"/>
      <c r="G25" s="610"/>
      <c r="H25" s="610"/>
      <c r="I25" s="797"/>
    </row>
    <row r="27" spans="1:9">
      <c r="B27" s="798" t="s">
        <v>600</v>
      </c>
      <c r="C27" s="799" t="s">
        <v>12</v>
      </c>
      <c r="D27" s="800">
        <v>2020</v>
      </c>
      <c r="E27" s="800">
        <v>2021</v>
      </c>
      <c r="F27" s="800">
        <v>2022</v>
      </c>
      <c r="G27" s="800">
        <f>+F27+1</f>
        <v>2023</v>
      </c>
      <c r="I27" s="801" t="str">
        <f>"'20-'23 CAGR"</f>
        <v>'20-'23 CAGR</v>
      </c>
    </row>
    <row r="28" spans="1:9">
      <c r="B28" s="184" t="s">
        <v>41</v>
      </c>
      <c r="C28" s="182" t="s">
        <v>596</v>
      </c>
      <c r="D28" s="719">
        <v>4159369.69</v>
      </c>
      <c r="E28" s="719">
        <v>4637316.47</v>
      </c>
      <c r="F28" s="719">
        <v>6964592.2000000002</v>
      </c>
      <c r="G28" s="719">
        <v>6837051.4199999999</v>
      </c>
      <c r="I28" s="820">
        <f t="shared" ref="I28:I29" si="4">IFERROR((G28/D28)^(1/($G$4-$D$4))-1,"n.a.")</f>
        <v>0.1801768946075788</v>
      </c>
    </row>
    <row r="29" spans="1:9">
      <c r="B29" s="184" t="s">
        <v>601</v>
      </c>
      <c r="C29" s="182" t="s">
        <v>596</v>
      </c>
      <c r="D29" s="719">
        <v>83108.639999999999</v>
      </c>
      <c r="E29" s="719">
        <v>70327.37</v>
      </c>
      <c r="F29" s="719">
        <v>89097.06</v>
      </c>
      <c r="G29" s="719">
        <v>61891.67</v>
      </c>
      <c r="I29" s="820">
        <f t="shared" si="4"/>
        <v>-9.3581678759521725E-2</v>
      </c>
    </row>
    <row r="30" spans="1:9">
      <c r="B30" s="184" t="s">
        <v>602</v>
      </c>
      <c r="C30" s="182" t="s">
        <v>596</v>
      </c>
      <c r="D30" s="719">
        <v>0</v>
      </c>
      <c r="E30" s="719">
        <v>592791</v>
      </c>
      <c r="F30" s="719">
        <v>0</v>
      </c>
      <c r="G30" s="719">
        <v>0</v>
      </c>
      <c r="I30" s="820" t="str">
        <f>IFERROR((G30/D30)^(1/($G$4-$D$4))-1,"n.a.")</f>
        <v>n.a.</v>
      </c>
    </row>
    <row r="31" spans="1:9">
      <c r="B31" s="184" t="s">
        <v>443</v>
      </c>
      <c r="C31" s="182" t="s">
        <v>596</v>
      </c>
      <c r="D31" s="361">
        <f>+D33-(D28+D29+D32+D30)</f>
        <v>379568.38999999966</v>
      </c>
      <c r="E31" s="361">
        <f>+E33-(E28+E29+E32+E30)</f>
        <v>340998.76000000071</v>
      </c>
      <c r="F31" s="361">
        <f>+F33-(F28+F29+F32+F30)</f>
        <v>100042.87000000104</v>
      </c>
      <c r="G31" s="361">
        <f>+G33-(G28+G29+G32+G30)</f>
        <v>107283.76999999955</v>
      </c>
      <c r="I31" s="820">
        <f>IFERROR((G31/D31)^(1/($G$4-$D$4))-1,"n.a.")</f>
        <v>-0.34373184702806525</v>
      </c>
    </row>
    <row r="32" spans="1:9">
      <c r="B32" s="216" t="s">
        <v>43</v>
      </c>
      <c r="C32" s="208" t="s">
        <v>596</v>
      </c>
      <c r="D32" s="722">
        <v>1626864.4000000001</v>
      </c>
      <c r="E32" s="722">
        <v>2645652.85</v>
      </c>
      <c r="F32" s="722">
        <v>2231823.5699999998</v>
      </c>
      <c r="G32" s="722">
        <v>3348604.16</v>
      </c>
      <c r="I32" s="821">
        <f t="shared" ref="I32:I40" si="5">IFERROR((G32/D32)^(1/($G$4-$D$4))-1,"n.a.")</f>
        <v>0.27204991188883199</v>
      </c>
    </row>
    <row r="33" spans="1:9" s="213" customFormat="1">
      <c r="B33" s="269" t="s">
        <v>44</v>
      </c>
      <c r="C33" s="211" t="s">
        <v>596</v>
      </c>
      <c r="D33" s="822">
        <v>6248911.1200000001</v>
      </c>
      <c r="E33" s="822">
        <v>8287086.4500000002</v>
      </c>
      <c r="F33" s="822">
        <v>9385555.7000000011</v>
      </c>
      <c r="G33" s="822">
        <v>10354831.02</v>
      </c>
      <c r="I33" s="823">
        <f t="shared" si="5"/>
        <v>0.18334911271521492</v>
      </c>
    </row>
    <row r="34" spans="1:9">
      <c r="B34" s="824" t="s">
        <v>603</v>
      </c>
      <c r="C34" s="182" t="s">
        <v>596</v>
      </c>
      <c r="D34" s="719">
        <v>1027349.81</v>
      </c>
      <c r="E34" s="719">
        <v>1182279.32</v>
      </c>
      <c r="F34" s="719">
        <v>1371630.4000000001</v>
      </c>
      <c r="G34" s="719">
        <v>1408291.19</v>
      </c>
      <c r="I34" s="820">
        <f t="shared" si="5"/>
        <v>0.11085670100877731</v>
      </c>
    </row>
    <row r="35" spans="1:9">
      <c r="B35" s="825" t="s">
        <v>604</v>
      </c>
      <c r="C35" s="208" t="s">
        <v>596</v>
      </c>
      <c r="D35" s="293">
        <f>+D36-D34</f>
        <v>2561198</v>
      </c>
      <c r="E35" s="293">
        <f>+E36-E34</f>
        <v>1627552.4400000002</v>
      </c>
      <c r="F35" s="293">
        <f>+F36-F34</f>
        <v>1250957.6599999999</v>
      </c>
      <c r="G35" s="293">
        <f>+G36-G34</f>
        <v>1973915.69</v>
      </c>
      <c r="I35" s="821">
        <f t="shared" si="5"/>
        <v>-8.3156630925924513E-2</v>
      </c>
    </row>
    <row r="36" spans="1:9" s="213" customFormat="1">
      <c r="B36" s="213" t="s">
        <v>46</v>
      </c>
      <c r="C36" s="211" t="s">
        <v>596</v>
      </c>
      <c r="D36" s="822">
        <v>3588547.81</v>
      </c>
      <c r="E36" s="822">
        <v>2809831.7600000002</v>
      </c>
      <c r="F36" s="822">
        <v>2622588.06</v>
      </c>
      <c r="G36" s="822">
        <v>3382206.88</v>
      </c>
      <c r="I36" s="823">
        <f t="shared" si="5"/>
        <v>-1.9546177641094897E-2</v>
      </c>
    </row>
    <row r="37" spans="1:9">
      <c r="B37" s="184" t="s">
        <v>47</v>
      </c>
      <c r="C37" s="182" t="s">
        <v>596</v>
      </c>
      <c r="D37" s="719">
        <v>69119.180000000008</v>
      </c>
      <c r="E37" s="719">
        <v>69119.180000000008</v>
      </c>
      <c r="F37" s="719">
        <v>69119.180000000008</v>
      </c>
      <c r="G37" s="719">
        <v>69119.180000000008</v>
      </c>
      <c r="I37" s="820">
        <f t="shared" si="5"/>
        <v>0</v>
      </c>
    </row>
    <row r="38" spans="1:9">
      <c r="B38" s="184" t="s">
        <v>39</v>
      </c>
      <c r="C38" s="182" t="s">
        <v>596</v>
      </c>
      <c r="D38" s="361">
        <f>+D17</f>
        <v>1782079.9879999994</v>
      </c>
      <c r="E38" s="361">
        <f t="shared" ref="E38:G38" si="6">+E17</f>
        <v>5226385.3977999985</v>
      </c>
      <c r="F38" s="361">
        <f t="shared" si="6"/>
        <v>5621042.0276000034</v>
      </c>
      <c r="G38" s="361">
        <f t="shared" si="6"/>
        <v>5224753.2315999959</v>
      </c>
      <c r="I38" s="820">
        <f t="shared" si="5"/>
        <v>0.43124131171244318</v>
      </c>
    </row>
    <row r="39" spans="1:9">
      <c r="B39" s="216" t="s">
        <v>48</v>
      </c>
      <c r="C39" s="208" t="s">
        <v>596</v>
      </c>
      <c r="D39" s="570">
        <f>+D40-D38-D37</f>
        <v>809164.14200000057</v>
      </c>
      <c r="E39" s="570">
        <f>+E40-SUM(E37:E38)</f>
        <v>181750.11220000219</v>
      </c>
      <c r="F39" s="570">
        <f>+F40-SUM(F37:F38)</f>
        <v>1072806.4323999975</v>
      </c>
      <c r="G39" s="570">
        <f>+G40-SUM(G37:G38)</f>
        <v>1678751.728400005</v>
      </c>
      <c r="I39" s="821">
        <f t="shared" si="5"/>
        <v>0.27541038235317661</v>
      </c>
    </row>
    <row r="40" spans="1:9">
      <c r="B40" s="213" t="s">
        <v>49</v>
      </c>
      <c r="C40" s="211" t="s">
        <v>596</v>
      </c>
      <c r="D40" s="822">
        <v>2660363.31</v>
      </c>
      <c r="E40" s="822">
        <v>5477254.6900000004</v>
      </c>
      <c r="F40" s="822">
        <v>6762967.6400000006</v>
      </c>
      <c r="G40" s="822">
        <v>6972624.1400000006</v>
      </c>
      <c r="I40" s="823">
        <f t="shared" si="5"/>
        <v>0.37874865510420275</v>
      </c>
    </row>
    <row r="42" spans="1:9">
      <c r="B42" s="401" t="s">
        <v>7</v>
      </c>
      <c r="C42" s="182" t="s">
        <v>7</v>
      </c>
      <c r="D42" s="361">
        <f>+(D33)-(D40+D36)</f>
        <v>0</v>
      </c>
      <c r="E42" s="361">
        <f t="shared" ref="E42:G42" si="7">+(E33)-(E40+E36)</f>
        <v>0</v>
      </c>
      <c r="F42" s="361">
        <f t="shared" si="7"/>
        <v>0</v>
      </c>
      <c r="G42" s="361">
        <f t="shared" si="7"/>
        <v>0</v>
      </c>
    </row>
    <row r="43" spans="1:9">
      <c r="B43" s="401" t="s">
        <v>605</v>
      </c>
      <c r="C43" s="182" t="s">
        <v>113</v>
      </c>
      <c r="D43" s="206">
        <f>+D35/D10</f>
        <v>0.94869326716211178</v>
      </c>
      <c r="E43" s="206">
        <f>+E35/E10</f>
        <v>0.26979030509316615</v>
      </c>
      <c r="F43" s="206">
        <f>+F35/F10</f>
        <v>0.1701632514841202</v>
      </c>
      <c r="G43" s="206">
        <f>+G35/G10</f>
        <v>0.25919596985628551</v>
      </c>
    </row>
    <row r="44" spans="1:9">
      <c r="B44" s="401" t="s">
        <v>172</v>
      </c>
      <c r="C44" s="182" t="s">
        <v>14</v>
      </c>
      <c r="D44" s="243">
        <f>+D36/D40</f>
        <v>1.3488938884817201</v>
      </c>
      <c r="E44" s="243">
        <f t="shared" ref="E44:G44" si="8">+E36/E40</f>
        <v>0.51300001899309156</v>
      </c>
      <c r="F44" s="243">
        <f t="shared" si="8"/>
        <v>0.38778657530290944</v>
      </c>
      <c r="G44" s="243">
        <f t="shared" si="8"/>
        <v>0.48506943900750682</v>
      </c>
    </row>
    <row r="45" spans="1:9">
      <c r="B45" s="401"/>
      <c r="C45" s="182"/>
      <c r="D45" s="243"/>
      <c r="E45" s="243"/>
      <c r="F45" s="243"/>
      <c r="G45" s="243"/>
    </row>
    <row r="46" spans="1:9" ht="17" thickBot="1">
      <c r="A46" s="177" t="s">
        <v>10</v>
      </c>
      <c r="B46" s="610" t="str">
        <f>+B48</f>
        <v>Working Capital</v>
      </c>
      <c r="C46" s="611"/>
      <c r="D46" s="610"/>
      <c r="E46" s="610"/>
      <c r="F46" s="610"/>
      <c r="G46" s="610"/>
      <c r="H46" s="610"/>
      <c r="I46" s="797"/>
    </row>
    <row r="47" spans="1:9">
      <c r="B47" s="401"/>
      <c r="C47" s="182"/>
      <c r="D47" s="243"/>
      <c r="E47" s="243"/>
      <c r="F47" s="243"/>
      <c r="G47" s="243"/>
    </row>
    <row r="48" spans="1:9">
      <c r="B48" s="798" t="s">
        <v>215</v>
      </c>
      <c r="C48" s="799" t="s">
        <v>12</v>
      </c>
      <c r="D48" s="800">
        <v>2020</v>
      </c>
      <c r="E48" s="800">
        <v>2021</v>
      </c>
      <c r="F48" s="800">
        <v>2022</v>
      </c>
      <c r="G48" s="800">
        <f>+F48+1</f>
        <v>2023</v>
      </c>
      <c r="I48" s="801" t="s">
        <v>623</v>
      </c>
    </row>
    <row r="49" spans="1:9">
      <c r="B49" s="401" t="s">
        <v>606</v>
      </c>
      <c r="C49" s="182" t="s">
        <v>607</v>
      </c>
      <c r="D49" s="826">
        <f>D29/(D5/365)</f>
        <v>1.5526461461572283</v>
      </c>
      <c r="E49" s="826">
        <f>E29/(E5/365)</f>
        <v>0.85925481281830174</v>
      </c>
      <c r="F49" s="826">
        <f>F29/(F5/365)</f>
        <v>0.83343487334511335</v>
      </c>
      <c r="G49" s="826">
        <f>G29/(G5/365)</f>
        <v>0.49184908888820489</v>
      </c>
      <c r="I49" s="826">
        <f>+AVERAGE(D49:G49)</f>
        <v>0.93429623030221209</v>
      </c>
    </row>
    <row r="50" spans="1:9">
      <c r="B50" s="495" t="s">
        <v>608</v>
      </c>
      <c r="C50" s="182" t="s">
        <v>607</v>
      </c>
      <c r="D50" s="827">
        <f>D34/(-(D6+D8+D9)/365)</f>
        <v>22.270449771371489</v>
      </c>
      <c r="E50" s="827">
        <f>E34/(-(E6+E8+E9)/365)</f>
        <v>18.100054257428191</v>
      </c>
      <c r="F50" s="827">
        <f>F34/(-(F6+F8+F9)/365)</f>
        <v>15.809058173575007</v>
      </c>
      <c r="G50" s="827">
        <f>G34/(-(G6+G8+G9)/365)</f>
        <v>13.416104907506622</v>
      </c>
      <c r="I50" s="827">
        <f t="shared" ref="I50" si="9">+AVERAGE(D50:G50)</f>
        <v>17.398916777470326</v>
      </c>
    </row>
    <row r="51" spans="1:9">
      <c r="B51" s="184" t="str">
        <f t="shared" ref="B51:G51" si="10">+B29</f>
        <v>Accounts Receivable</v>
      </c>
      <c r="C51" s="828" t="str">
        <f t="shared" si="10"/>
        <v>USD</v>
      </c>
      <c r="D51" s="829">
        <f t="shared" si="10"/>
        <v>83108.639999999999</v>
      </c>
      <c r="E51" s="829">
        <f t="shared" si="10"/>
        <v>70327.37</v>
      </c>
      <c r="F51" s="829">
        <f t="shared" si="10"/>
        <v>89097.06</v>
      </c>
      <c r="G51" s="829">
        <f t="shared" si="10"/>
        <v>61891.67</v>
      </c>
      <c r="I51" s="820">
        <f t="shared" ref="I51:I53" si="11">IFERROR((G51/D51)^(1/($G$4-$D$4))-1,"n.a.")</f>
        <v>-9.3581678759521725E-2</v>
      </c>
    </row>
    <row r="52" spans="1:9">
      <c r="B52" s="216" t="str">
        <f>+B34</f>
        <v>Accounts Payable</v>
      </c>
      <c r="C52" s="208" t="str">
        <f t="shared" ref="C52:G52" si="12">+C34</f>
        <v>USD</v>
      </c>
      <c r="D52" s="830">
        <f t="shared" si="12"/>
        <v>1027349.81</v>
      </c>
      <c r="E52" s="830">
        <f t="shared" si="12"/>
        <v>1182279.32</v>
      </c>
      <c r="F52" s="830">
        <f t="shared" si="12"/>
        <v>1371630.4000000001</v>
      </c>
      <c r="G52" s="830">
        <f t="shared" si="12"/>
        <v>1408291.19</v>
      </c>
      <c r="I52" s="821">
        <f t="shared" si="11"/>
        <v>0.11085670100877731</v>
      </c>
    </row>
    <row r="53" spans="1:9" s="213" customFormat="1">
      <c r="B53" s="213" t="s">
        <v>98</v>
      </c>
      <c r="C53" s="182" t="s">
        <v>596</v>
      </c>
      <c r="D53" s="804">
        <f>+D51-D52</f>
        <v>-944241.17</v>
      </c>
      <c r="E53" s="804">
        <f t="shared" ref="E53:G53" si="13">+E51-E52</f>
        <v>-1111951.9500000002</v>
      </c>
      <c r="F53" s="804">
        <f t="shared" si="13"/>
        <v>-1282533.3400000001</v>
      </c>
      <c r="G53" s="804">
        <f t="shared" si="13"/>
        <v>-1346399.52</v>
      </c>
      <c r="I53" s="820">
        <f t="shared" si="11"/>
        <v>0.12554709643155904</v>
      </c>
    </row>
    <row r="54" spans="1:9" s="240" customFormat="1">
      <c r="B54" s="401" t="s">
        <v>609</v>
      </c>
      <c r="C54" s="182" t="str">
        <f t="shared" ref="C54" si="14">+C31</f>
        <v>USD</v>
      </c>
      <c r="D54" s="831"/>
      <c r="E54" s="831">
        <f>-(E53-D53)</f>
        <v>167710.78000000014</v>
      </c>
      <c r="F54" s="831">
        <f t="shared" ref="F54:G54" si="15">-(F53-E53)</f>
        <v>170581.3899999999</v>
      </c>
      <c r="G54" s="831">
        <f t="shared" si="15"/>
        <v>63866.179999999935</v>
      </c>
      <c r="I54" s="820"/>
    </row>
    <row r="55" spans="1:9">
      <c r="D55" s="361"/>
      <c r="E55" s="482"/>
    </row>
    <row r="56" spans="1:9" ht="17" thickBot="1">
      <c r="A56" s="177" t="s">
        <v>10</v>
      </c>
      <c r="B56" s="610" t="str">
        <f>+B58</f>
        <v>Cash Flow Statement</v>
      </c>
      <c r="C56" s="611"/>
      <c r="D56" s="610"/>
      <c r="E56" s="610"/>
      <c r="F56" s="610"/>
      <c r="G56" s="610"/>
      <c r="H56" s="610"/>
      <c r="I56" s="797"/>
    </row>
    <row r="57" spans="1:9">
      <c r="D57" s="361"/>
      <c r="E57" s="482"/>
    </row>
    <row r="58" spans="1:9">
      <c r="B58" s="798" t="s">
        <v>610</v>
      </c>
      <c r="C58" s="799" t="s">
        <v>12</v>
      </c>
      <c r="D58" s="800">
        <v>2020</v>
      </c>
      <c r="E58" s="800">
        <v>2021</v>
      </c>
      <c r="F58" s="800">
        <v>2022</v>
      </c>
      <c r="G58" s="800">
        <f>+F58+1</f>
        <v>2023</v>
      </c>
      <c r="I58" s="801" t="str">
        <f>"'21-'23 CAGR"</f>
        <v>'21-'23 CAGR</v>
      </c>
    </row>
    <row r="59" spans="1:9">
      <c r="B59" s="184" t="s">
        <v>63</v>
      </c>
      <c r="C59" s="182" t="s">
        <v>596</v>
      </c>
      <c r="E59" s="361">
        <f t="shared" ref="E59:G60" si="16">+E5</f>
        <v>29874130.079999998</v>
      </c>
      <c r="F59" s="361">
        <f t="shared" si="16"/>
        <v>39019757.800000004</v>
      </c>
      <c r="G59" s="361">
        <f t="shared" si="16"/>
        <v>45929656.189999998</v>
      </c>
      <c r="I59" s="820">
        <f>IFERROR((G59/E59)^(1/($G$4-$E$4))-1,"n.a.")</f>
        <v>0.2399351263774554</v>
      </c>
    </row>
    <row r="60" spans="1:9">
      <c r="B60" s="184" t="s">
        <v>31</v>
      </c>
      <c r="C60" s="182" t="s">
        <v>596</v>
      </c>
      <c r="E60" s="361">
        <f t="shared" si="16"/>
        <v>-10618041.34</v>
      </c>
      <c r="F60" s="361">
        <f t="shared" si="16"/>
        <v>-14389310.120000001</v>
      </c>
      <c r="G60" s="361">
        <f t="shared" si="16"/>
        <v>-16397949.17</v>
      </c>
      <c r="I60" s="820">
        <f t="shared" ref="I60:I80" si="17">IFERROR((G60/E60)^(1/($G$4-$E$4))-1,"n.a.")</f>
        <v>0.24271792309352769</v>
      </c>
    </row>
    <row r="61" spans="1:9">
      <c r="B61" s="216" t="s">
        <v>32</v>
      </c>
      <c r="C61" s="208" t="s">
        <v>596</v>
      </c>
      <c r="D61" s="292"/>
      <c r="E61" s="293">
        <f>+E8+E9</f>
        <v>-13223431.49</v>
      </c>
      <c r="F61" s="293">
        <f>+F8+F9</f>
        <v>-17278932.890000001</v>
      </c>
      <c r="G61" s="293">
        <f>+G8+G9</f>
        <v>-21916173.140000001</v>
      </c>
      <c r="I61" s="821">
        <f t="shared" si="17"/>
        <v>0.28739043060870029</v>
      </c>
    </row>
    <row r="62" spans="1:9">
      <c r="B62" s="213" t="s">
        <v>33</v>
      </c>
      <c r="C62" s="211" t="s">
        <v>596</v>
      </c>
      <c r="D62" s="822"/>
      <c r="E62" s="832">
        <f>+SUM(E59:E61)</f>
        <v>6032657.2499999981</v>
      </c>
      <c r="F62" s="832">
        <f t="shared" ref="F62:G62" si="18">+SUM(F59:F61)</f>
        <v>7351514.7900000028</v>
      </c>
      <c r="G62" s="832">
        <f t="shared" si="18"/>
        <v>7615533.8799999952</v>
      </c>
      <c r="I62" s="823">
        <f t="shared" si="17"/>
        <v>0.12355891916840167</v>
      </c>
    </row>
    <row r="63" spans="1:9">
      <c r="B63" s="184" t="s">
        <v>52</v>
      </c>
      <c r="C63" s="182" t="s">
        <v>596</v>
      </c>
      <c r="E63" s="361">
        <f>+E54</f>
        <v>167710.78000000014</v>
      </c>
      <c r="F63" s="361">
        <f t="shared" ref="F63:G63" si="19">+F54</f>
        <v>170581.3899999999</v>
      </c>
      <c r="G63" s="361">
        <f t="shared" si="19"/>
        <v>63866.179999999935</v>
      </c>
      <c r="I63" s="820">
        <f t="shared" si="17"/>
        <v>-0.38290080349764333</v>
      </c>
    </row>
    <row r="64" spans="1:9">
      <c r="B64" s="184" t="s">
        <v>53</v>
      </c>
      <c r="C64" s="182" t="s">
        <v>596</v>
      </c>
      <c r="E64" s="361">
        <f>+E16</f>
        <v>-1836297.5721999996</v>
      </c>
      <c r="F64" s="361">
        <f t="shared" ref="F64:G64" si="20">+F16</f>
        <v>-1974960.7124000012</v>
      </c>
      <c r="G64" s="361">
        <f t="shared" si="20"/>
        <v>-1835724.1083999989</v>
      </c>
      <c r="I64" s="820">
        <f t="shared" si="17"/>
        <v>-1.5615894393428142E-4</v>
      </c>
    </row>
    <row r="65" spans="2:13">
      <c r="B65" s="216" t="s">
        <v>54</v>
      </c>
      <c r="C65" s="208" t="s">
        <v>596</v>
      </c>
      <c r="D65" s="292"/>
      <c r="E65" s="293">
        <f>-(E32-D32)-E11</f>
        <v>-643893.16999999993</v>
      </c>
      <c r="F65" s="293">
        <f t="shared" ref="F65:G65" si="21">-(F32-E32)-F11</f>
        <v>933397.33000000031</v>
      </c>
      <c r="G65" s="293">
        <f t="shared" si="21"/>
        <v>-523997.05000000028</v>
      </c>
      <c r="I65" s="821">
        <f t="shared" si="17"/>
        <v>-9.7894123736390837E-2</v>
      </c>
    </row>
    <row r="66" spans="2:13">
      <c r="B66" s="213" t="s">
        <v>51</v>
      </c>
      <c r="C66" s="211" t="s">
        <v>596</v>
      </c>
      <c r="D66" s="822"/>
      <c r="E66" s="832">
        <f>+SUM(E62:E65)</f>
        <v>3720177.2877999991</v>
      </c>
      <c r="F66" s="832">
        <f t="shared" ref="F66:G66" si="22">+SUM(F62:F65)</f>
        <v>6480532.7976000011</v>
      </c>
      <c r="G66" s="832">
        <f t="shared" si="22"/>
        <v>5319678.9015999958</v>
      </c>
      <c r="I66" s="823">
        <f t="shared" si="17"/>
        <v>0.19580644812994308</v>
      </c>
    </row>
    <row r="67" spans="2:13">
      <c r="B67" s="213"/>
      <c r="C67" s="211"/>
      <c r="D67" s="822"/>
      <c r="E67" s="832"/>
      <c r="F67" s="832"/>
      <c r="G67" s="832"/>
      <c r="I67" s="820"/>
    </row>
    <row r="68" spans="2:13">
      <c r="B68" s="184" t="s">
        <v>382</v>
      </c>
      <c r="C68" s="182" t="s">
        <v>596</v>
      </c>
      <c r="E68" s="361">
        <v>0</v>
      </c>
      <c r="F68" s="361">
        <v>0</v>
      </c>
      <c r="G68" s="361">
        <v>0</v>
      </c>
      <c r="I68" s="820" t="str">
        <f t="shared" si="17"/>
        <v>n.a.</v>
      </c>
    </row>
    <row r="69" spans="2:13">
      <c r="B69" s="184" t="s">
        <v>438</v>
      </c>
      <c r="C69" s="182" t="s">
        <v>596</v>
      </c>
      <c r="E69" s="361">
        <v>0</v>
      </c>
      <c r="F69" s="361">
        <v>0</v>
      </c>
      <c r="G69" s="361">
        <v>0</v>
      </c>
      <c r="I69" s="820" t="str">
        <f t="shared" si="17"/>
        <v>n.a.</v>
      </c>
    </row>
    <row r="70" spans="2:13">
      <c r="B70" s="184" t="s">
        <v>611</v>
      </c>
      <c r="C70" s="182" t="s">
        <v>596</v>
      </c>
      <c r="E70" s="361">
        <f>+E14</f>
        <v>1404921</v>
      </c>
      <c r="F70" s="361">
        <f t="shared" ref="F70:G70" si="23">+F14</f>
        <v>764056</v>
      </c>
      <c r="G70" s="361">
        <f t="shared" si="23"/>
        <v>37727</v>
      </c>
      <c r="I70" s="820">
        <f t="shared" si="17"/>
        <v>-0.83612972445977474</v>
      </c>
    </row>
    <row r="71" spans="2:13">
      <c r="B71" s="184"/>
      <c r="C71" s="182"/>
      <c r="I71" s="820" t="str">
        <f t="shared" si="17"/>
        <v>n.a.</v>
      </c>
    </row>
    <row r="72" spans="2:13" s="813" customFormat="1">
      <c r="B72" s="807" t="s">
        <v>612</v>
      </c>
      <c r="C72" s="808" t="s">
        <v>596</v>
      </c>
      <c r="E72" s="833">
        <v>-1266031</v>
      </c>
      <c r="F72" s="833">
        <v>-199407</v>
      </c>
      <c r="G72" s="833">
        <v>-1158066</v>
      </c>
      <c r="I72" s="834">
        <f t="shared" si="17"/>
        <v>-4.3589169116493465E-2</v>
      </c>
      <c r="K72" s="835" t="s">
        <v>617</v>
      </c>
    </row>
    <row r="73" spans="2:13">
      <c r="B73" s="184" t="s">
        <v>613</v>
      </c>
      <c r="C73" s="182" t="s">
        <v>596</v>
      </c>
      <c r="E73" s="361">
        <f>(E35-D35)</f>
        <v>-933645.55999999982</v>
      </c>
      <c r="F73" s="361">
        <f t="shared" ref="F73:G73" si="24">(F35-E35)</f>
        <v>-376594.78000000026</v>
      </c>
      <c r="G73" s="361">
        <f t="shared" si="24"/>
        <v>722958.03</v>
      </c>
      <c r="I73" s="820" t="str">
        <f t="shared" si="17"/>
        <v>n.a.</v>
      </c>
    </row>
    <row r="74" spans="2:13">
      <c r="B74" s="216" t="s">
        <v>58</v>
      </c>
      <c r="C74" s="208" t="s">
        <v>596</v>
      </c>
      <c r="D74" s="292"/>
      <c r="E74" s="293">
        <f>+E40-D40-E17</f>
        <v>-2409494.0177999982</v>
      </c>
      <c r="F74" s="293">
        <f t="shared" ref="F74:G74" si="25">+F40-E40-F17</f>
        <v>-4335329.0776000032</v>
      </c>
      <c r="G74" s="293">
        <f t="shared" si="25"/>
        <v>-5015096.7315999959</v>
      </c>
      <c r="I74" s="821">
        <f t="shared" si="17"/>
        <v>0.44270232231889106</v>
      </c>
      <c r="K74" s="361"/>
      <c r="L74" s="361"/>
      <c r="M74" s="361"/>
    </row>
    <row r="75" spans="2:13">
      <c r="B75" s="213" t="s">
        <v>448</v>
      </c>
      <c r="C75" s="211" t="s">
        <v>596</v>
      </c>
      <c r="D75" s="822"/>
      <c r="E75" s="832">
        <f>+SUM(E66:E74)</f>
        <v>515927.71000000136</v>
      </c>
      <c r="F75" s="832">
        <f t="shared" ref="F75:H75" si="26">+SUM(F66:F74)</f>
        <v>2333257.9399999976</v>
      </c>
      <c r="G75" s="832">
        <f t="shared" si="26"/>
        <v>-92798.799999999814</v>
      </c>
      <c r="H75" s="832">
        <f t="shared" si="26"/>
        <v>0</v>
      </c>
      <c r="I75" s="823" t="str">
        <f>IFERROR((G75/E75)^(1/($G$4-$E$4))-1,"n.a.")</f>
        <v>n.a.</v>
      </c>
      <c r="K75" s="361"/>
      <c r="L75" s="361"/>
      <c r="M75" s="361"/>
    </row>
    <row r="76" spans="2:13">
      <c r="B76" s="213"/>
      <c r="C76" s="211"/>
      <c r="D76" s="822"/>
      <c r="E76" s="832"/>
      <c r="F76" s="832"/>
      <c r="G76" s="832"/>
      <c r="H76" s="832"/>
      <c r="I76" s="820"/>
    </row>
    <row r="77" spans="2:13" s="839" customFormat="1" hidden="1" outlineLevel="1">
      <c r="B77" s="836" t="s">
        <v>614</v>
      </c>
      <c r="C77" s="837" t="s">
        <v>596</v>
      </c>
      <c r="D77" s="838"/>
      <c r="E77" s="838">
        <f>+E81-E80</f>
        <v>477946.7799999998</v>
      </c>
      <c r="F77" s="838">
        <f t="shared" ref="F77:G77" si="27">+F81-F80</f>
        <v>2327275.7300000004</v>
      </c>
      <c r="G77" s="838">
        <f t="shared" si="27"/>
        <v>-127540.78000000026</v>
      </c>
      <c r="H77" s="838">
        <f t="shared" ref="H77" si="28">+SUM(H68:H76)</f>
        <v>0</v>
      </c>
      <c r="I77" s="820" t="str">
        <f t="shared" si="17"/>
        <v>n.a.</v>
      </c>
    </row>
    <row r="78" spans="2:13" s="840" customFormat="1" hidden="1" outlineLevel="1">
      <c r="B78" s="840" t="s">
        <v>615</v>
      </c>
      <c r="C78" s="841" t="s">
        <v>596</v>
      </c>
      <c r="D78" s="842"/>
      <c r="E78" s="842">
        <f>+E75-E77</f>
        <v>37980.930000001565</v>
      </c>
      <c r="F78" s="842">
        <f t="shared" ref="F78:G78" si="29">+F75-F77</f>
        <v>5982.2099999971688</v>
      </c>
      <c r="G78" s="842">
        <f t="shared" si="29"/>
        <v>34741.980000000447</v>
      </c>
      <c r="H78" s="842"/>
      <c r="I78" s="820">
        <f t="shared" si="17"/>
        <v>-4.3589169116507009E-2</v>
      </c>
    </row>
    <row r="79" spans="2:13" hidden="1" outlineLevel="1">
      <c r="B79" s="213"/>
      <c r="C79" s="211"/>
      <c r="D79" s="822"/>
      <c r="E79" s="832"/>
      <c r="F79" s="832"/>
      <c r="G79" s="832"/>
      <c r="H79" s="832"/>
      <c r="I79" s="820" t="str">
        <f t="shared" si="17"/>
        <v>n.a.</v>
      </c>
    </row>
    <row r="80" spans="2:13" collapsed="1">
      <c r="B80" s="216" t="s">
        <v>60</v>
      </c>
      <c r="C80" s="208" t="s">
        <v>596</v>
      </c>
      <c r="D80" s="292"/>
      <c r="E80" s="293">
        <f>+D28</f>
        <v>4159369.69</v>
      </c>
      <c r="F80" s="293">
        <f>+E81</f>
        <v>4637316.47</v>
      </c>
      <c r="G80" s="293">
        <f>+F81</f>
        <v>6964592.2000000002</v>
      </c>
      <c r="I80" s="821">
        <f t="shared" si="17"/>
        <v>0.29399942902360032</v>
      </c>
    </row>
    <row r="81" spans="2:9">
      <c r="B81" s="213" t="s">
        <v>61</v>
      </c>
      <c r="C81" s="211" t="s">
        <v>596</v>
      </c>
      <c r="D81" s="822"/>
      <c r="E81" s="832">
        <f>+E28</f>
        <v>4637316.47</v>
      </c>
      <c r="F81" s="832">
        <f t="shared" ref="F81:G81" si="30">+F28</f>
        <v>6964592.2000000002</v>
      </c>
      <c r="G81" s="832">
        <f t="shared" si="30"/>
        <v>6837051.4199999999</v>
      </c>
      <c r="I81" s="820">
        <f>IFERROR((G81/E81)^(1/($G$4-$E$4))-1,"n.a.")</f>
        <v>0.21423027060745281</v>
      </c>
    </row>
    <row r="83" spans="2:9">
      <c r="I83" s="767" t="s">
        <v>622</v>
      </c>
    </row>
    <row r="84" spans="2:9">
      <c r="B84" s="401" t="s">
        <v>621</v>
      </c>
      <c r="C84" s="182" t="s">
        <v>14</v>
      </c>
      <c r="E84" s="186">
        <f>-E65/E59</f>
        <v>2.1553537066208019E-2</v>
      </c>
      <c r="F84" s="186"/>
      <c r="G84" s="186">
        <f>-G65/G59</f>
        <v>1.1408686532125342E-2</v>
      </c>
      <c r="I84" s="802">
        <f>+AVERAGE(G84,E84)</f>
        <v>1.648111179916668E-2</v>
      </c>
    </row>
    <row r="85" spans="2:9">
      <c r="E85" s="361"/>
      <c r="F85" s="361"/>
      <c r="G85" s="3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622F-9D73-4B4E-919C-43AB46103351}">
  <sheetPr>
    <tabColor theme="0" tint="-0.249977111117893"/>
  </sheetPr>
  <dimension ref="A2:XES121"/>
  <sheetViews>
    <sheetView showGridLines="0" zoomScale="150" zoomScaleNormal="150" workbookViewId="0">
      <pane ySplit="2" topLeftCell="A3" activePane="bottomLeft" state="frozen"/>
      <selection pane="bottomLeft" activeCell="C14" sqref="C14"/>
    </sheetView>
  </sheetViews>
  <sheetFormatPr baseColWidth="10" defaultColWidth="0" defaultRowHeight="16"/>
  <cols>
    <col min="1" max="1" width="2" style="180" bestFit="1" customWidth="1"/>
    <col min="2" max="2" width="28.5" style="180" bestFit="1" customWidth="1"/>
    <col min="3" max="3" width="17.33203125" style="180" customWidth="1"/>
    <col min="4" max="4" width="14.6640625" style="180" customWidth="1"/>
    <col min="5" max="5" width="12.33203125" style="180" customWidth="1"/>
    <col min="6" max="6" width="10" style="180" customWidth="1"/>
    <col min="7" max="7" width="13.1640625" style="180" customWidth="1"/>
    <col min="8" max="8" width="14.6640625" style="180" customWidth="1"/>
    <col min="9" max="9" width="13.1640625" style="180" customWidth="1"/>
    <col min="10" max="10" width="10.6640625" style="180" customWidth="1"/>
    <col min="11" max="11" width="16.6640625" style="180" customWidth="1"/>
    <col min="12" max="16" width="8.6640625" style="180" customWidth="1"/>
    <col min="17" max="16373" width="8.6640625" style="180" hidden="1"/>
    <col min="16374" max="16384" width="0" style="180" hidden="1"/>
  </cols>
  <sheetData>
    <row r="2" spans="1:15">
      <c r="A2" s="582" t="s">
        <v>10</v>
      </c>
      <c r="B2" s="583" t="str">
        <f>"SGC - "&amp;Cover!B7</f>
        <v>SGC - YOUR PROJECT</v>
      </c>
      <c r="C2" s="582"/>
      <c r="D2" s="582"/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</row>
    <row r="4" spans="1:15" ht="17" thickBot="1">
      <c r="A4" s="582" t="s">
        <v>10</v>
      </c>
      <c r="B4" s="592" t="s">
        <v>119</v>
      </c>
      <c r="C4" s="593"/>
      <c r="D4" s="594"/>
      <c r="E4" s="595"/>
      <c r="F4" s="595"/>
      <c r="G4" s="595"/>
      <c r="H4" s="595"/>
      <c r="I4" s="595"/>
      <c r="J4" s="595"/>
      <c r="K4" s="595"/>
      <c r="L4" s="595"/>
      <c r="M4" s="595"/>
      <c r="N4" s="595"/>
      <c r="O4" s="595"/>
    </row>
    <row r="6" spans="1:15">
      <c r="B6" s="843"/>
      <c r="C6" s="844"/>
      <c r="D6" s="844" t="s">
        <v>120</v>
      </c>
      <c r="E6" s="844"/>
      <c r="F6" s="844"/>
      <c r="G6" s="844" t="s">
        <v>121</v>
      </c>
      <c r="H6" s="844"/>
      <c r="I6" s="844"/>
      <c r="J6" s="844" t="s">
        <v>122</v>
      </c>
      <c r="K6" s="844"/>
    </row>
    <row r="7" spans="1:15">
      <c r="B7" s="845"/>
      <c r="C7" s="846" t="s">
        <v>123</v>
      </c>
      <c r="D7" s="846" t="s">
        <v>124</v>
      </c>
      <c r="E7" s="846" t="s">
        <v>125</v>
      </c>
      <c r="F7" s="846" t="s">
        <v>126</v>
      </c>
      <c r="G7" s="846" t="s">
        <v>127</v>
      </c>
      <c r="H7" s="846" t="s">
        <v>33</v>
      </c>
      <c r="I7" s="846" t="s">
        <v>128</v>
      </c>
      <c r="J7" s="846" t="s">
        <v>129</v>
      </c>
      <c r="K7" s="846" t="s">
        <v>111</v>
      </c>
    </row>
    <row r="8" spans="1:15">
      <c r="B8" s="847" t="s">
        <v>130</v>
      </c>
      <c r="C8" s="848" t="s">
        <v>131</v>
      </c>
      <c r="D8" s="848" t="s">
        <v>132</v>
      </c>
      <c r="E8" s="848" t="s">
        <v>134</v>
      </c>
      <c r="F8" s="848" t="s">
        <v>134</v>
      </c>
      <c r="G8" s="848" t="s">
        <v>134</v>
      </c>
      <c r="H8" s="848" t="s">
        <v>134</v>
      </c>
      <c r="I8" s="848" t="s">
        <v>133</v>
      </c>
      <c r="J8" s="848" t="s">
        <v>113</v>
      </c>
      <c r="K8" s="848" t="s">
        <v>113</v>
      </c>
    </row>
    <row r="9" spans="1:15">
      <c r="B9" s="849"/>
      <c r="C9" s="850"/>
      <c r="D9" s="639"/>
      <c r="E9" s="851"/>
      <c r="F9" s="851"/>
      <c r="G9" s="237"/>
      <c r="H9" s="237"/>
      <c r="I9" s="224"/>
      <c r="J9" s="852"/>
      <c r="K9" s="852"/>
    </row>
    <row r="10" spans="1:15">
      <c r="B10" s="849"/>
      <c r="C10" s="196"/>
      <c r="D10" s="220"/>
      <c r="E10" s="237"/>
      <c r="F10" s="237"/>
      <c r="G10" s="237"/>
      <c r="H10" s="237"/>
      <c r="I10" s="224"/>
      <c r="J10" s="852"/>
      <c r="K10" s="852"/>
    </row>
    <row r="11" spans="1:15">
      <c r="B11" s="849"/>
      <c r="C11" s="196"/>
      <c r="D11" s="220"/>
      <c r="E11" s="237"/>
      <c r="F11" s="851"/>
      <c r="G11" s="237"/>
      <c r="H11" s="237"/>
      <c r="I11" s="224"/>
      <c r="J11" s="852"/>
      <c r="K11" s="852"/>
    </row>
    <row r="12" spans="1:15">
      <c r="B12" s="853"/>
      <c r="C12" s="854"/>
      <c r="D12" s="504"/>
      <c r="E12" s="570"/>
      <c r="F12" s="570"/>
      <c r="G12" s="570"/>
      <c r="H12" s="570"/>
      <c r="I12" s="855"/>
      <c r="J12" s="856"/>
      <c r="K12" s="856"/>
    </row>
    <row r="13" spans="1:15">
      <c r="B13" s="857" t="s">
        <v>135</v>
      </c>
      <c r="D13" s="213"/>
      <c r="E13" s="832"/>
      <c r="F13" s="213"/>
      <c r="G13" s="213"/>
      <c r="H13" s="213"/>
      <c r="I13" s="858"/>
      <c r="J13" s="692"/>
      <c r="K13" s="692"/>
    </row>
    <row r="14" spans="1:15">
      <c r="B14" s="681" t="s">
        <v>136</v>
      </c>
    </row>
    <row r="16" spans="1:15" ht="17" thickBot="1">
      <c r="A16" s="582" t="s">
        <v>10</v>
      </c>
      <c r="B16" s="592" t="s">
        <v>227</v>
      </c>
      <c r="C16" s="593"/>
      <c r="D16" s="594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</row>
    <row r="17" spans="2:12">
      <c r="B17" s="859" t="s">
        <v>228</v>
      </c>
      <c r="C17" s="860">
        <v>45296</v>
      </c>
      <c r="D17" s="861"/>
      <c r="E17" s="861"/>
      <c r="F17" s="861"/>
      <c r="G17" s="861"/>
      <c r="H17" s="862"/>
      <c r="I17" s="863" t="s">
        <v>229</v>
      </c>
      <c r="J17" s="864" t="s">
        <v>230</v>
      </c>
      <c r="K17" s="865"/>
      <c r="L17" s="866"/>
    </row>
    <row r="18" spans="2:12">
      <c r="B18" s="867" t="s">
        <v>231</v>
      </c>
      <c r="C18" s="868" t="s">
        <v>232</v>
      </c>
      <c r="D18" s="869"/>
      <c r="E18" s="869"/>
      <c r="F18" s="869"/>
      <c r="G18" s="869"/>
      <c r="H18" s="870"/>
      <c r="I18" s="871"/>
      <c r="J18" s="872" t="s">
        <v>233</v>
      </c>
      <c r="K18" s="873"/>
      <c r="L18" s="874"/>
    </row>
    <row r="19" spans="2:12">
      <c r="B19" s="867" t="s">
        <v>234</v>
      </c>
      <c r="C19" s="875" t="s">
        <v>343</v>
      </c>
      <c r="D19" s="876"/>
      <c r="E19" s="876"/>
      <c r="F19" s="877"/>
      <c r="G19" s="875" t="s">
        <v>235</v>
      </c>
      <c r="H19" s="878"/>
      <c r="I19" s="871"/>
      <c r="J19" s="872"/>
      <c r="K19" s="873"/>
      <c r="L19" s="874"/>
    </row>
    <row r="20" spans="2:12">
      <c r="B20" s="867" t="s">
        <v>236</v>
      </c>
      <c r="C20" s="879" t="s">
        <v>237</v>
      </c>
      <c r="D20" s="880"/>
      <c r="E20" s="880"/>
      <c r="F20" s="880"/>
      <c r="G20" s="880"/>
      <c r="H20" s="881"/>
      <c r="I20" s="871"/>
      <c r="J20" s="872"/>
      <c r="K20" s="873"/>
      <c r="L20" s="874"/>
    </row>
    <row r="21" spans="2:12">
      <c r="B21" s="867" t="s">
        <v>238</v>
      </c>
      <c r="C21" s="882" t="s">
        <v>239</v>
      </c>
      <c r="D21" s="883"/>
      <c r="E21" s="883"/>
      <c r="F21" s="883"/>
      <c r="G21" s="883"/>
      <c r="H21" s="884"/>
      <c r="I21" s="871"/>
      <c r="J21" s="872"/>
      <c r="K21" s="873"/>
      <c r="L21" s="874"/>
    </row>
    <row r="22" spans="2:12">
      <c r="B22" s="867" t="s">
        <v>240</v>
      </c>
      <c r="C22" s="868" t="s">
        <v>241</v>
      </c>
      <c r="D22" s="869"/>
      <c r="E22" s="869"/>
      <c r="F22" s="869"/>
      <c r="G22" s="869"/>
      <c r="H22" s="870"/>
      <c r="I22" s="871"/>
      <c r="J22" s="872"/>
      <c r="K22" s="873"/>
      <c r="L22" s="874"/>
    </row>
    <row r="23" spans="2:12" ht="17" thickBot="1">
      <c r="B23" s="885" t="s">
        <v>242</v>
      </c>
      <c r="C23" s="886" t="s">
        <v>243</v>
      </c>
      <c r="D23" s="887"/>
      <c r="E23" s="887"/>
      <c r="F23" s="887"/>
      <c r="G23" s="887"/>
      <c r="H23" s="888"/>
      <c r="I23" s="889"/>
      <c r="J23" s="890"/>
      <c r="K23" s="891"/>
      <c r="L23" s="892"/>
    </row>
    <row r="24" spans="2:12" ht="17" thickBot="1">
      <c r="C24" s="372"/>
      <c r="D24" s="893" t="s">
        <v>344</v>
      </c>
      <c r="E24" s="894"/>
      <c r="F24" s="894"/>
      <c r="G24" s="895"/>
      <c r="H24" s="893" t="s">
        <v>345</v>
      </c>
      <c r="I24" s="894"/>
      <c r="J24" s="894"/>
      <c r="K24" s="895"/>
    </row>
    <row r="25" spans="2:12">
      <c r="B25" s="896" t="s">
        <v>244</v>
      </c>
      <c r="C25" s="897" t="s">
        <v>245</v>
      </c>
      <c r="D25" s="897" t="s">
        <v>346</v>
      </c>
      <c r="E25" s="898" t="s">
        <v>111</v>
      </c>
      <c r="F25" s="898" t="s">
        <v>347</v>
      </c>
      <c r="G25" s="898" t="s">
        <v>348</v>
      </c>
      <c r="H25" s="897" t="s">
        <v>349</v>
      </c>
      <c r="I25" s="899" t="s">
        <v>350</v>
      </c>
      <c r="J25" s="899" t="s">
        <v>351</v>
      </c>
      <c r="K25" s="900" t="s">
        <v>352</v>
      </c>
    </row>
    <row r="26" spans="2:12" hidden="1">
      <c r="B26" s="901" t="s">
        <v>252</v>
      </c>
      <c r="C26" s="902">
        <v>15</v>
      </c>
      <c r="D26" s="903" t="s">
        <v>261</v>
      </c>
      <c r="E26" s="903" t="s">
        <v>261</v>
      </c>
      <c r="F26" s="903" t="s">
        <v>261</v>
      </c>
      <c r="G26" s="903" t="s">
        <v>261</v>
      </c>
      <c r="H26" s="903" t="s">
        <v>261</v>
      </c>
      <c r="I26" s="903" t="s">
        <v>261</v>
      </c>
      <c r="J26" s="903" t="s">
        <v>261</v>
      </c>
      <c r="K26" s="904" t="s">
        <v>261</v>
      </c>
    </row>
    <row r="27" spans="2:12" hidden="1">
      <c r="B27" s="901" t="s">
        <v>253</v>
      </c>
      <c r="C27" s="902">
        <v>625</v>
      </c>
      <c r="D27" s="903" t="s">
        <v>261</v>
      </c>
      <c r="E27" s="903" t="s">
        <v>261</v>
      </c>
      <c r="F27" s="903" t="s">
        <v>261</v>
      </c>
      <c r="G27" s="903" t="s">
        <v>261</v>
      </c>
      <c r="H27" s="903" t="s">
        <v>261</v>
      </c>
      <c r="I27" s="903" t="s">
        <v>261</v>
      </c>
      <c r="J27" s="903" t="s">
        <v>261</v>
      </c>
      <c r="K27" s="904" t="s">
        <v>261</v>
      </c>
    </row>
    <row r="28" spans="2:12" hidden="1">
      <c r="B28" s="901" t="s">
        <v>257</v>
      </c>
      <c r="C28" s="902">
        <v>27</v>
      </c>
      <c r="D28" s="903" t="s">
        <v>261</v>
      </c>
      <c r="E28" s="903" t="s">
        <v>261</v>
      </c>
      <c r="F28" s="903" t="s">
        <v>261</v>
      </c>
      <c r="G28" s="903" t="s">
        <v>261</v>
      </c>
      <c r="H28" s="903" t="s">
        <v>261</v>
      </c>
      <c r="I28" s="903" t="s">
        <v>261</v>
      </c>
      <c r="J28" s="903" t="s">
        <v>261</v>
      </c>
      <c r="K28" s="904" t="s">
        <v>261</v>
      </c>
    </row>
    <row r="29" spans="2:12" hidden="1">
      <c r="B29" s="901" t="s">
        <v>280</v>
      </c>
      <c r="C29" s="902">
        <v>172</v>
      </c>
      <c r="D29" s="905">
        <v>56.657778418384339</v>
      </c>
      <c r="E29" s="905">
        <v>62.475028788602742</v>
      </c>
      <c r="F29" s="905">
        <v>83.078559960891738</v>
      </c>
      <c r="G29" s="905">
        <v>103.07010448388759</v>
      </c>
      <c r="H29" s="905">
        <v>87.008220616901198</v>
      </c>
      <c r="I29" s="905">
        <v>96.065086255802498</v>
      </c>
      <c r="J29" s="905">
        <v>126.00525243137558</v>
      </c>
      <c r="K29" s="906">
        <v>156.3264281390309</v>
      </c>
    </row>
    <row r="30" spans="2:12" hidden="1">
      <c r="B30" s="901" t="s">
        <v>296</v>
      </c>
      <c r="C30" s="902">
        <v>334</v>
      </c>
      <c r="D30" s="905">
        <v>33.619856125266779</v>
      </c>
      <c r="E30" s="905">
        <v>34.845251313805413</v>
      </c>
      <c r="F30" s="905">
        <v>34.896040662166058</v>
      </c>
      <c r="G30" s="905">
        <v>43.954113104653509</v>
      </c>
      <c r="H30" s="905">
        <v>29.970953152332722</v>
      </c>
      <c r="I30" s="905">
        <v>30.8883544710466</v>
      </c>
      <c r="J30" s="905">
        <v>36.833996346210718</v>
      </c>
      <c r="K30" s="906">
        <v>46.395109897182394</v>
      </c>
    </row>
    <row r="31" spans="2:12" hidden="1">
      <c r="B31" s="901" t="s">
        <v>324</v>
      </c>
      <c r="C31" s="902">
        <v>63</v>
      </c>
      <c r="D31" s="905">
        <v>19.41455118091277</v>
      </c>
      <c r="E31" s="905">
        <v>31.594447138361602</v>
      </c>
      <c r="F31" s="905">
        <v>53.315004182229046</v>
      </c>
      <c r="G31" s="905">
        <v>59.74484604085518</v>
      </c>
      <c r="H31" s="905">
        <v>20.078056165196902</v>
      </c>
      <c r="I31" s="905">
        <v>33.222355832798435</v>
      </c>
      <c r="J31" s="905">
        <v>53.724149549531816</v>
      </c>
      <c r="K31" s="906">
        <v>60.203334741227089</v>
      </c>
    </row>
    <row r="32" spans="2:12" hidden="1">
      <c r="B32" s="901" t="s">
        <v>330</v>
      </c>
      <c r="C32" s="902">
        <v>351</v>
      </c>
      <c r="D32" s="905">
        <v>19.133484368430388</v>
      </c>
      <c r="E32" s="905">
        <v>28.433138742544646</v>
      </c>
      <c r="F32" s="905">
        <v>39.481990904188763</v>
      </c>
      <c r="G32" s="905">
        <v>48.600819960695624</v>
      </c>
      <c r="H32" s="905">
        <v>23.492526229337674</v>
      </c>
      <c r="I32" s="905">
        <v>37.574040504294025</v>
      </c>
      <c r="J32" s="905">
        <v>42.307293361488725</v>
      </c>
      <c r="K32" s="906">
        <v>52.078659170855069</v>
      </c>
    </row>
    <row r="33" spans="2:11" hidden="1">
      <c r="B33" s="901" t="s">
        <v>267</v>
      </c>
      <c r="C33" s="902">
        <v>36</v>
      </c>
      <c r="D33" s="905">
        <v>17.088784948237798</v>
      </c>
      <c r="E33" s="905">
        <v>21.831632280697495</v>
      </c>
      <c r="F33" s="905">
        <v>25.971419409717786</v>
      </c>
      <c r="G33" s="905">
        <v>30.500878246426122</v>
      </c>
      <c r="H33" s="905">
        <v>17.508357510038888</v>
      </c>
      <c r="I33" s="905">
        <v>22.469146439056985</v>
      </c>
      <c r="J33" s="905">
        <v>26.18295567195219</v>
      </c>
      <c r="K33" s="906">
        <v>30.749306785403142</v>
      </c>
    </row>
    <row r="34" spans="2:11" hidden="1">
      <c r="B34" s="901" t="s">
        <v>250</v>
      </c>
      <c r="C34" s="902">
        <v>34</v>
      </c>
      <c r="D34" s="905">
        <v>14.636479313665443</v>
      </c>
      <c r="E34" s="905">
        <v>21.649291457975476</v>
      </c>
      <c r="F34" s="905">
        <v>49.578165599480705</v>
      </c>
      <c r="G34" s="905">
        <v>61.623407064854348</v>
      </c>
      <c r="H34" s="905">
        <v>17.636847884293193</v>
      </c>
      <c r="I34" s="905">
        <v>28.421506303050407</v>
      </c>
      <c r="J34" s="905">
        <v>50.999276468545538</v>
      </c>
      <c r="K34" s="906">
        <v>63.389783301444851</v>
      </c>
    </row>
    <row r="35" spans="2:11" hidden="1">
      <c r="B35" s="901" t="s">
        <v>285</v>
      </c>
      <c r="C35" s="902">
        <v>230</v>
      </c>
      <c r="D35" s="905">
        <v>15.708219336168908</v>
      </c>
      <c r="E35" s="905">
        <v>21.511372797591477</v>
      </c>
      <c r="F35" s="905">
        <v>36.992220884124826</v>
      </c>
      <c r="G35" s="905">
        <v>47.773236805009716</v>
      </c>
      <c r="H35" s="905">
        <v>17.536220926311163</v>
      </c>
      <c r="I35" s="905">
        <v>24.67132865226057</v>
      </c>
      <c r="J35" s="905">
        <v>38.521872536588774</v>
      </c>
      <c r="K35" s="906">
        <v>49.748690261865974</v>
      </c>
    </row>
    <row r="36" spans="2:11" hidden="1">
      <c r="B36" s="901" t="s">
        <v>287</v>
      </c>
      <c r="C36" s="902">
        <v>128</v>
      </c>
      <c r="D36" s="905">
        <v>16.782255310003766</v>
      </c>
      <c r="E36" s="905">
        <v>21.435576546426841</v>
      </c>
      <c r="F36" s="905">
        <v>36.529531221176818</v>
      </c>
      <c r="G36" s="905">
        <v>42.338891794622391</v>
      </c>
      <c r="H36" s="905">
        <v>17.459512678107028</v>
      </c>
      <c r="I36" s="905">
        <v>22.354039641112699</v>
      </c>
      <c r="J36" s="905">
        <v>37.678972389553827</v>
      </c>
      <c r="K36" s="906">
        <v>43.671130770193642</v>
      </c>
    </row>
    <row r="37" spans="2:11" hidden="1">
      <c r="B37" s="901" t="s">
        <v>309</v>
      </c>
      <c r="C37" s="902">
        <v>193</v>
      </c>
      <c r="D37" s="905">
        <v>21.017469035612159</v>
      </c>
      <c r="E37" s="905">
        <v>21.021909275607779</v>
      </c>
      <c r="F37" s="905">
        <v>47.68030534436101</v>
      </c>
      <c r="G37" s="905">
        <v>49.289055886371678</v>
      </c>
      <c r="H37" s="905">
        <v>25.485452087026342</v>
      </c>
      <c r="I37" s="905">
        <v>25.491347126293665</v>
      </c>
      <c r="J37" s="905">
        <v>52.806979286855871</v>
      </c>
      <c r="K37" s="906">
        <v>54.588705639825271</v>
      </c>
    </row>
    <row r="38" spans="2:11" hidden="1">
      <c r="B38" s="901" t="s">
        <v>329</v>
      </c>
      <c r="C38" s="902">
        <v>35</v>
      </c>
      <c r="D38" s="905">
        <v>7.8581358244802182</v>
      </c>
      <c r="E38" s="905">
        <v>19.329878727497675</v>
      </c>
      <c r="F38" s="905" t="s">
        <v>261</v>
      </c>
      <c r="G38" s="905" t="s">
        <v>261</v>
      </c>
      <c r="H38" s="905">
        <v>37.649656011824206</v>
      </c>
      <c r="I38" s="905" t="s">
        <v>261</v>
      </c>
      <c r="J38" s="905" t="s">
        <v>261</v>
      </c>
      <c r="K38" s="906" t="s">
        <v>261</v>
      </c>
    </row>
    <row r="39" spans="2:11" hidden="1">
      <c r="B39" s="901" t="s">
        <v>274</v>
      </c>
      <c r="C39" s="902">
        <v>13</v>
      </c>
      <c r="D39" s="905">
        <v>5.4644858710983986</v>
      </c>
      <c r="E39" s="905">
        <v>19.143941698748328</v>
      </c>
      <c r="F39" s="905" t="s">
        <v>261</v>
      </c>
      <c r="G39" s="905" t="s">
        <v>261</v>
      </c>
      <c r="H39" s="905">
        <v>6.4703289167313827</v>
      </c>
      <c r="I39" s="905">
        <v>23.525424481201355</v>
      </c>
      <c r="J39" s="905" t="s">
        <v>261</v>
      </c>
      <c r="K39" s="906" t="s">
        <v>261</v>
      </c>
    </row>
    <row r="40" spans="2:11" hidden="1">
      <c r="B40" s="901" t="s">
        <v>327</v>
      </c>
      <c r="C40" s="902">
        <v>13</v>
      </c>
      <c r="D40" s="905">
        <v>18.839610722139735</v>
      </c>
      <c r="E40" s="905">
        <v>18.953733947779405</v>
      </c>
      <c r="F40" s="905">
        <v>23.682872304836216</v>
      </c>
      <c r="G40" s="905">
        <v>28.745788992030672</v>
      </c>
      <c r="H40" s="905">
        <v>21.738369957056488</v>
      </c>
      <c r="I40" s="905">
        <v>21.890292695737148</v>
      </c>
      <c r="J40" s="905">
        <v>23.708139282944639</v>
      </c>
      <c r="K40" s="906">
        <v>28.776457536446316</v>
      </c>
    </row>
    <row r="41" spans="2:11" hidden="1">
      <c r="B41" s="901" t="s">
        <v>247</v>
      </c>
      <c r="C41" s="902">
        <v>70</v>
      </c>
      <c r="D41" s="905">
        <v>14.001925113790957</v>
      </c>
      <c r="E41" s="905">
        <v>18.488711603269998</v>
      </c>
      <c r="F41" s="905">
        <v>28.310279485536824</v>
      </c>
      <c r="G41" s="905">
        <v>33.747781313337626</v>
      </c>
      <c r="H41" s="905">
        <v>15.176316241127362</v>
      </c>
      <c r="I41" s="905">
        <v>20.427714524012583</v>
      </c>
      <c r="J41" s="905">
        <v>28.966521913248183</v>
      </c>
      <c r="K41" s="906">
        <v>34.530066982762087</v>
      </c>
    </row>
    <row r="42" spans="2:11" hidden="1">
      <c r="B42" s="901" t="s">
        <v>325</v>
      </c>
      <c r="C42" s="902">
        <v>30</v>
      </c>
      <c r="D42" s="905">
        <v>13.385903938358283</v>
      </c>
      <c r="E42" s="905">
        <v>18.178195157648474</v>
      </c>
      <c r="F42" s="905">
        <v>21.529732735448246</v>
      </c>
      <c r="G42" s="905">
        <v>24.447547635104041</v>
      </c>
      <c r="H42" s="905">
        <v>12.902665621686538</v>
      </c>
      <c r="I42" s="905">
        <v>17.293502753247544</v>
      </c>
      <c r="J42" s="905">
        <v>21.547577735525699</v>
      </c>
      <c r="K42" s="906">
        <v>24.467811077052101</v>
      </c>
    </row>
    <row r="43" spans="2:11" hidden="1">
      <c r="B43" s="901" t="s">
        <v>255</v>
      </c>
      <c r="C43" s="902">
        <v>29</v>
      </c>
      <c r="D43" s="905">
        <v>17.689956612570001</v>
      </c>
      <c r="E43" s="905">
        <v>18.067516918352702</v>
      </c>
      <c r="F43" s="905">
        <v>21.467253635523878</v>
      </c>
      <c r="G43" s="905">
        <v>26.46710078753652</v>
      </c>
      <c r="H43" s="905">
        <v>19.865951046024701</v>
      </c>
      <c r="I43" s="905">
        <v>20.343182588115091</v>
      </c>
      <c r="J43" s="905">
        <v>21.475174266353335</v>
      </c>
      <c r="K43" s="906">
        <v>26.476866178956556</v>
      </c>
    </row>
    <row r="44" spans="2:11" hidden="1">
      <c r="B44" s="901" t="s">
        <v>311</v>
      </c>
      <c r="C44" s="902">
        <v>11</v>
      </c>
      <c r="D44" s="905">
        <v>18.009159397595386</v>
      </c>
      <c r="E44" s="905">
        <v>18.009159397595386</v>
      </c>
      <c r="F44" s="905">
        <v>28.438668024742345</v>
      </c>
      <c r="G44" s="905">
        <v>34.862438231391465</v>
      </c>
      <c r="H44" s="905">
        <v>24.508845104578132</v>
      </c>
      <c r="I44" s="905">
        <v>24.508845104578132</v>
      </c>
      <c r="J44" s="905">
        <v>29.07645764030044</v>
      </c>
      <c r="K44" s="906">
        <v>35.644292749249757</v>
      </c>
    </row>
    <row r="45" spans="2:11" hidden="1">
      <c r="B45" s="901" t="s">
        <v>310</v>
      </c>
      <c r="C45" s="902">
        <v>17</v>
      </c>
      <c r="D45" s="905">
        <v>17.93205737756681</v>
      </c>
      <c r="E45" s="905">
        <v>17.93205737756681</v>
      </c>
      <c r="F45" s="905">
        <v>36.271131152719285</v>
      </c>
      <c r="G45" s="905">
        <v>44.524161153520566</v>
      </c>
      <c r="H45" s="905">
        <v>15.524253470890397</v>
      </c>
      <c r="I45" s="905">
        <v>15.524253470890397</v>
      </c>
      <c r="J45" s="905">
        <v>39.275531261924506</v>
      </c>
      <c r="K45" s="906">
        <v>48.212173916857822</v>
      </c>
    </row>
    <row r="46" spans="2:11" hidden="1">
      <c r="B46" s="901" t="s">
        <v>321</v>
      </c>
      <c r="C46" s="902">
        <v>28</v>
      </c>
      <c r="D46" s="905">
        <v>17.428172247007474</v>
      </c>
      <c r="E46" s="905">
        <v>17.431873861346652</v>
      </c>
      <c r="F46" s="905">
        <v>34.711010000762485</v>
      </c>
      <c r="G46" s="905">
        <v>36.138580526922276</v>
      </c>
      <c r="H46" s="905">
        <v>18.532443719111804</v>
      </c>
      <c r="I46" s="905">
        <v>18.536629328593559</v>
      </c>
      <c r="J46" s="905">
        <v>34.711010000762485</v>
      </c>
      <c r="K46" s="906">
        <v>36.138580526922276</v>
      </c>
    </row>
    <row r="47" spans="2:11" hidden="1">
      <c r="B47" s="901" t="s">
        <v>294</v>
      </c>
      <c r="C47" s="902">
        <v>23</v>
      </c>
      <c r="D47" s="905">
        <v>17.24492070332478</v>
      </c>
      <c r="E47" s="905">
        <v>17.24492070332478</v>
      </c>
      <c r="F47" s="905" t="s">
        <v>261</v>
      </c>
      <c r="G47" s="905" t="s">
        <v>261</v>
      </c>
      <c r="H47" s="905">
        <v>18.23457178590802</v>
      </c>
      <c r="I47" s="905">
        <v>18.23457178590802</v>
      </c>
      <c r="J47" s="905" t="s">
        <v>261</v>
      </c>
      <c r="K47" s="906" t="s">
        <v>261</v>
      </c>
    </row>
    <row r="48" spans="2:11" hidden="1">
      <c r="B48" s="901" t="s">
        <v>328</v>
      </c>
      <c r="C48" s="902">
        <v>84</v>
      </c>
      <c r="D48" s="905">
        <v>11.059666628278856</v>
      </c>
      <c r="E48" s="905">
        <v>17.157815859353224</v>
      </c>
      <c r="F48" s="905">
        <v>22.221744412094619</v>
      </c>
      <c r="G48" s="905">
        <v>26.743423211245382</v>
      </c>
      <c r="H48" s="905">
        <v>12.562865318708022</v>
      </c>
      <c r="I48" s="905">
        <v>20.751784553896062</v>
      </c>
      <c r="J48" s="905">
        <v>22.734725942798249</v>
      </c>
      <c r="K48" s="906">
        <v>27.360786183330184</v>
      </c>
    </row>
    <row r="49" spans="2:11" hidden="1">
      <c r="B49" s="901" t="s">
        <v>340</v>
      </c>
      <c r="C49" s="902">
        <v>13</v>
      </c>
      <c r="D49" s="905">
        <v>16.861059231983642</v>
      </c>
      <c r="E49" s="905">
        <v>16.861059231983642</v>
      </c>
      <c r="F49" s="905">
        <v>25.637409477526273</v>
      </c>
      <c r="G49" s="905">
        <v>29.853040049652911</v>
      </c>
      <c r="H49" s="905">
        <v>18.317066439304838</v>
      </c>
      <c r="I49" s="905">
        <v>18.317066439304838</v>
      </c>
      <c r="J49" s="905">
        <v>25.734410147642038</v>
      </c>
      <c r="K49" s="906">
        <v>29.965990809843703</v>
      </c>
    </row>
    <row r="50" spans="2:11" hidden="1">
      <c r="B50" s="901" t="s">
        <v>341</v>
      </c>
      <c r="C50" s="902">
        <v>6481</v>
      </c>
      <c r="D50" s="905">
        <v>14.008692556411901</v>
      </c>
      <c r="E50" s="905">
        <v>16.807342298997796</v>
      </c>
      <c r="F50" s="905">
        <v>26.139286895624839</v>
      </c>
      <c r="G50" s="905">
        <v>32.72581617648251</v>
      </c>
      <c r="H50" s="905">
        <v>16.772550514861695</v>
      </c>
      <c r="I50" s="905">
        <v>20.536764973811895</v>
      </c>
      <c r="J50" s="905">
        <v>28.431673174790401</v>
      </c>
      <c r="K50" s="906">
        <v>35.595833720458423</v>
      </c>
    </row>
    <row r="51" spans="2:11" hidden="1">
      <c r="B51" s="901" t="s">
        <v>319</v>
      </c>
      <c r="C51" s="902">
        <v>26</v>
      </c>
      <c r="D51" s="905">
        <v>10.982862483608853</v>
      </c>
      <c r="E51" s="905">
        <v>16.631295752592539</v>
      </c>
      <c r="F51" s="905">
        <v>38.46582980994355</v>
      </c>
      <c r="G51" s="905">
        <v>49.407205052654454</v>
      </c>
      <c r="H51" s="905">
        <v>13.099950215053601</v>
      </c>
      <c r="I51" s="905">
        <v>22.015732016531704</v>
      </c>
      <c r="J51" s="905">
        <v>38.47732039615984</v>
      </c>
      <c r="K51" s="906">
        <v>49.421964067399969</v>
      </c>
    </row>
    <row r="52" spans="2:11" hidden="1">
      <c r="B52" s="901" t="s">
        <v>271</v>
      </c>
      <c r="C52" s="902">
        <v>245</v>
      </c>
      <c r="D52" s="905">
        <v>9.6058591205845296</v>
      </c>
      <c r="E52" s="905">
        <v>16.617974116905632</v>
      </c>
      <c r="F52" s="905">
        <v>27.428480363585575</v>
      </c>
      <c r="G52" s="905">
        <v>33.169683741042491</v>
      </c>
      <c r="H52" s="905">
        <v>8.3655243122008063</v>
      </c>
      <c r="I52" s="905">
        <v>13.076321631381713</v>
      </c>
      <c r="J52" s="905">
        <v>27.978268005612563</v>
      </c>
      <c r="K52" s="906">
        <v>33.834550404052358</v>
      </c>
    </row>
    <row r="53" spans="2:11" hidden="1">
      <c r="B53" s="901" t="s">
        <v>315</v>
      </c>
      <c r="C53" s="902">
        <v>64</v>
      </c>
      <c r="D53" s="905">
        <v>16.179539530183263</v>
      </c>
      <c r="E53" s="905">
        <v>16.598910443571427</v>
      </c>
      <c r="F53" s="905">
        <v>29.333020694460565</v>
      </c>
      <c r="G53" s="905">
        <v>37.121723784807841</v>
      </c>
      <c r="H53" s="905">
        <v>22.090285621185064</v>
      </c>
      <c r="I53" s="905">
        <v>22.833183451767763</v>
      </c>
      <c r="J53" s="905">
        <v>31.099117269254236</v>
      </c>
      <c r="K53" s="906">
        <v>39.356766329852199</v>
      </c>
    </row>
    <row r="54" spans="2:11" hidden="1">
      <c r="B54" s="901" t="s">
        <v>277</v>
      </c>
      <c r="C54" s="902">
        <v>98</v>
      </c>
      <c r="D54" s="905">
        <v>13.651262641774348</v>
      </c>
      <c r="E54" s="905">
        <v>16.372327269203399</v>
      </c>
      <c r="F54" s="905">
        <v>42.533399418877075</v>
      </c>
      <c r="G54" s="905">
        <v>57.769315188755009</v>
      </c>
      <c r="H54" s="905">
        <v>17.861376630231717</v>
      </c>
      <c r="I54" s="905">
        <v>22.409055168971964</v>
      </c>
      <c r="J54" s="905">
        <v>45.575813312994924</v>
      </c>
      <c r="K54" s="906">
        <v>61.901554078316643</v>
      </c>
    </row>
    <row r="55" spans="2:11" hidden="1">
      <c r="B55" s="901" t="s">
        <v>259</v>
      </c>
      <c r="C55" s="902">
        <v>162</v>
      </c>
      <c r="D55" s="905">
        <v>15.399572148623459</v>
      </c>
      <c r="E55" s="905">
        <v>16.123377912677118</v>
      </c>
      <c r="F55" s="905">
        <v>23.493439699858502</v>
      </c>
      <c r="G55" s="905">
        <v>30.651237532586837</v>
      </c>
      <c r="H55" s="905">
        <v>17.170275126979025</v>
      </c>
      <c r="I55" s="905">
        <v>18.062901437586486</v>
      </c>
      <c r="J55" s="905">
        <v>23.795730326290187</v>
      </c>
      <c r="K55" s="906">
        <v>31.045627707589087</v>
      </c>
    </row>
    <row r="56" spans="2:11" hidden="1">
      <c r="B56" s="901" t="s">
        <v>291</v>
      </c>
      <c r="C56" s="902">
        <v>93</v>
      </c>
      <c r="D56" s="905">
        <v>14.642448486096773</v>
      </c>
      <c r="E56" s="905">
        <v>15.954989167369019</v>
      </c>
      <c r="F56" s="905">
        <v>20.013621435472231</v>
      </c>
      <c r="G56" s="905">
        <v>25.842343134326704</v>
      </c>
      <c r="H56" s="905">
        <v>15.286764862522972</v>
      </c>
      <c r="I56" s="905">
        <v>16.715532308977608</v>
      </c>
      <c r="J56" s="905">
        <v>20.109556161178187</v>
      </c>
      <c r="K56" s="906">
        <v>25.966217671885246</v>
      </c>
    </row>
    <row r="57" spans="2:11" hidden="1">
      <c r="B57" s="901" t="s">
        <v>297</v>
      </c>
      <c r="C57" s="902">
        <v>103</v>
      </c>
      <c r="D57" s="905">
        <v>13.953350460367783</v>
      </c>
      <c r="E57" s="905">
        <v>15.461408447841649</v>
      </c>
      <c r="F57" s="905">
        <v>20.31238382156512</v>
      </c>
      <c r="G57" s="905">
        <v>26.037317246352412</v>
      </c>
      <c r="H57" s="905">
        <v>15.727404794015643</v>
      </c>
      <c r="I57" s="905">
        <v>17.64579590416297</v>
      </c>
      <c r="J57" s="905">
        <v>20.540572475737754</v>
      </c>
      <c r="K57" s="906">
        <v>26.329819615001199</v>
      </c>
    </row>
    <row r="58" spans="2:11" hidden="1">
      <c r="B58" s="901" t="s">
        <v>263</v>
      </c>
      <c r="C58" s="902">
        <v>4</v>
      </c>
      <c r="D58" s="905">
        <v>12.502076657951953</v>
      </c>
      <c r="E58" s="905">
        <v>15.396063877133198</v>
      </c>
      <c r="F58" s="905">
        <v>73.615159171578384</v>
      </c>
      <c r="G58" s="905">
        <v>130.19522748241988</v>
      </c>
      <c r="H58" s="905">
        <v>5.511119655934646</v>
      </c>
      <c r="I58" s="905">
        <v>6.0086515040379425</v>
      </c>
      <c r="J58" s="905">
        <v>73.666149976096619</v>
      </c>
      <c r="K58" s="906">
        <v>130.28540944315284</v>
      </c>
    </row>
    <row r="59" spans="2:11" hidden="1">
      <c r="B59" s="901" t="s">
        <v>278</v>
      </c>
      <c r="C59" s="902">
        <v>57</v>
      </c>
      <c r="D59" s="905">
        <v>14.729866802645052</v>
      </c>
      <c r="E59" s="905">
        <v>15.00034560192311</v>
      </c>
      <c r="F59" s="905">
        <v>24.256339038064446</v>
      </c>
      <c r="G59" s="905">
        <v>32.073101495849244</v>
      </c>
      <c r="H59" s="905">
        <v>16.486911737920639</v>
      </c>
      <c r="I59" s="905">
        <v>16.822968327153486</v>
      </c>
      <c r="J59" s="905">
        <v>24.506874358288368</v>
      </c>
      <c r="K59" s="906">
        <v>32.404373446708242</v>
      </c>
    </row>
    <row r="60" spans="2:11" hidden="1">
      <c r="B60" s="901" t="s">
        <v>312</v>
      </c>
      <c r="C60" s="902">
        <v>60</v>
      </c>
      <c r="D60" s="905">
        <v>12.515646299635966</v>
      </c>
      <c r="E60" s="905">
        <v>14.981930532197556</v>
      </c>
      <c r="F60" s="905" t="s">
        <v>261</v>
      </c>
      <c r="G60" s="905" t="s">
        <v>261</v>
      </c>
      <c r="H60" s="905">
        <v>22.786072511575235</v>
      </c>
      <c r="I60" s="905">
        <v>30.116176899757683</v>
      </c>
      <c r="J60" s="905" t="s">
        <v>261</v>
      </c>
      <c r="K60" s="906" t="s">
        <v>261</v>
      </c>
    </row>
    <row r="61" spans="2:11" hidden="1">
      <c r="B61" s="901" t="s">
        <v>290</v>
      </c>
      <c r="C61" s="902">
        <v>68</v>
      </c>
      <c r="D61" s="905">
        <v>13.688903229816008</v>
      </c>
      <c r="E61" s="905">
        <v>14.975440441167427</v>
      </c>
      <c r="F61" s="905">
        <v>30.72977186409063</v>
      </c>
      <c r="G61" s="905">
        <v>33.943794827206681</v>
      </c>
      <c r="H61" s="905">
        <v>20.725167206827319</v>
      </c>
      <c r="I61" s="905">
        <v>23.729924542246639</v>
      </c>
      <c r="J61" s="905">
        <v>31.565918202444614</v>
      </c>
      <c r="K61" s="906">
        <v>34.867393605620443</v>
      </c>
    </row>
    <row r="62" spans="2:11" hidden="1">
      <c r="B62" s="901" t="s">
        <v>254</v>
      </c>
      <c r="C62" s="902">
        <v>19</v>
      </c>
      <c r="D62" s="905">
        <v>14.843529532980639</v>
      </c>
      <c r="E62" s="905">
        <v>14.843529532980639</v>
      </c>
      <c r="F62" s="905">
        <v>18.678840886226705</v>
      </c>
      <c r="G62" s="905">
        <v>26.283017622169343</v>
      </c>
      <c r="H62" s="905">
        <v>16.85778223578621</v>
      </c>
      <c r="I62" s="905">
        <v>16.85778223578621</v>
      </c>
      <c r="J62" s="905">
        <v>18.754087007637288</v>
      </c>
      <c r="K62" s="906">
        <v>26.388896522636479</v>
      </c>
    </row>
    <row r="63" spans="2:11" hidden="1">
      <c r="B63" s="901" t="s">
        <v>273</v>
      </c>
      <c r="C63" s="902">
        <v>103</v>
      </c>
      <c r="D63" s="905">
        <v>12.036849779889982</v>
      </c>
      <c r="E63" s="905">
        <v>14.654554784871266</v>
      </c>
      <c r="F63" s="905">
        <v>28.89201617695047</v>
      </c>
      <c r="G63" s="905">
        <v>44.736304108564966</v>
      </c>
      <c r="H63" s="905">
        <v>16.834298636250928</v>
      </c>
      <c r="I63" s="905">
        <v>21.68301126369024</v>
      </c>
      <c r="J63" s="905">
        <v>32.277601890520543</v>
      </c>
      <c r="K63" s="906">
        <v>49.978534042961677</v>
      </c>
    </row>
    <row r="64" spans="2:11" hidden="1">
      <c r="B64" s="901" t="s">
        <v>337</v>
      </c>
      <c r="C64" s="902">
        <v>4</v>
      </c>
      <c r="D64" s="905">
        <v>14.3196804838998</v>
      </c>
      <c r="E64" s="905">
        <v>14.3196804838998</v>
      </c>
      <c r="F64" s="905">
        <v>18.966125677741278</v>
      </c>
      <c r="G64" s="905">
        <v>24.649957287225821</v>
      </c>
      <c r="H64" s="905">
        <v>13.303051659655271</v>
      </c>
      <c r="I64" s="905">
        <v>13.303051659655271</v>
      </c>
      <c r="J64" s="905">
        <v>18.966125677741278</v>
      </c>
      <c r="K64" s="906">
        <v>24.649957287225821</v>
      </c>
    </row>
    <row r="65" spans="2:11" hidden="1">
      <c r="B65" s="901" t="s">
        <v>342</v>
      </c>
      <c r="C65" s="902">
        <v>5214</v>
      </c>
      <c r="D65" s="905">
        <v>11.707529918651462</v>
      </c>
      <c r="E65" s="905">
        <v>14.145902302173438</v>
      </c>
      <c r="F65" s="905">
        <v>22.061341722186697</v>
      </c>
      <c r="G65" s="905">
        <v>27.586787068907054</v>
      </c>
      <c r="H65" s="905">
        <v>13.387908867227202</v>
      </c>
      <c r="I65" s="905">
        <v>16.532409627881098</v>
      </c>
      <c r="J65" s="905">
        <v>22.863000336649062</v>
      </c>
      <c r="K65" s="906">
        <v>28.589227708176402</v>
      </c>
    </row>
    <row r="66" spans="2:11" hidden="1">
      <c r="B66" s="901" t="s">
        <v>333</v>
      </c>
      <c r="C66" s="902">
        <v>66</v>
      </c>
      <c r="D66" s="905">
        <v>9.086164654706657</v>
      </c>
      <c r="E66" s="905">
        <v>13.979069158223247</v>
      </c>
      <c r="F66" s="905">
        <v>17.645248189217565</v>
      </c>
      <c r="G66" s="905">
        <v>21.407313726192474</v>
      </c>
      <c r="H66" s="905">
        <v>9.9566731012624743</v>
      </c>
      <c r="I66" s="905">
        <v>15.859682307039495</v>
      </c>
      <c r="J66" s="905">
        <v>18.183225570161699</v>
      </c>
      <c r="K66" s="906">
        <v>22.059990891623556</v>
      </c>
    </row>
    <row r="67" spans="2:11" hidden="1">
      <c r="B67" s="901" t="s">
        <v>275</v>
      </c>
      <c r="C67" s="902">
        <v>129</v>
      </c>
      <c r="D67" s="905">
        <v>10.267019155254269</v>
      </c>
      <c r="E67" s="905">
        <v>13.589599841576854</v>
      </c>
      <c r="F67" s="905">
        <v>22.109356359942485</v>
      </c>
      <c r="G67" s="905">
        <v>29.111082986388197</v>
      </c>
      <c r="H67" s="905">
        <v>10.95135119656932</v>
      </c>
      <c r="I67" s="905">
        <v>14.678240994184026</v>
      </c>
      <c r="J67" s="905">
        <v>22.708882556369641</v>
      </c>
      <c r="K67" s="906">
        <v>29.900470817158592</v>
      </c>
    </row>
    <row r="68" spans="2:11" hidden="1">
      <c r="B68" s="901" t="s">
        <v>270</v>
      </c>
      <c r="C68" s="902">
        <v>572</v>
      </c>
      <c r="D68" s="905">
        <v>6.1584145706949958</v>
      </c>
      <c r="E68" s="905">
        <v>13.519816800069261</v>
      </c>
      <c r="F68" s="905" t="s">
        <v>261</v>
      </c>
      <c r="G68" s="905" t="s">
        <v>261</v>
      </c>
      <c r="H68" s="905">
        <v>10.446764517752396</v>
      </c>
      <c r="I68" s="905">
        <v>31.201718096500194</v>
      </c>
      <c r="J68" s="905" t="s">
        <v>261</v>
      </c>
      <c r="K68" s="906" t="s">
        <v>261</v>
      </c>
    </row>
    <row r="69" spans="2:11" hidden="1">
      <c r="B69" s="901" t="s">
        <v>317</v>
      </c>
      <c r="C69" s="902">
        <v>16</v>
      </c>
      <c r="D69" s="905">
        <v>13.212377501081281</v>
      </c>
      <c r="E69" s="905">
        <v>13.331901910729169</v>
      </c>
      <c r="F69" s="905">
        <v>17.190761080323021</v>
      </c>
      <c r="G69" s="905">
        <v>22.810531375509782</v>
      </c>
      <c r="H69" s="905">
        <v>13.779939941177927</v>
      </c>
      <c r="I69" s="905">
        <v>13.907482365065519</v>
      </c>
      <c r="J69" s="905">
        <v>17.52749309513996</v>
      </c>
      <c r="K69" s="906">
        <v>23.257343250401831</v>
      </c>
    </row>
    <row r="70" spans="2:11" hidden="1">
      <c r="B70" s="901" t="s">
        <v>307</v>
      </c>
      <c r="C70" s="902">
        <v>61</v>
      </c>
      <c r="D70" s="905">
        <v>12.58823757229864</v>
      </c>
      <c r="E70" s="905">
        <v>13.009572620028603</v>
      </c>
      <c r="F70" s="905">
        <v>40.056477737396648</v>
      </c>
      <c r="G70" s="905">
        <v>49.747254359107018</v>
      </c>
      <c r="H70" s="905">
        <v>11.939566357999933</v>
      </c>
      <c r="I70" s="905">
        <v>12.30545691529287</v>
      </c>
      <c r="J70" s="905">
        <v>41.381619239369712</v>
      </c>
      <c r="K70" s="906">
        <v>51.39298446529952</v>
      </c>
    </row>
    <row r="71" spans="2:11" hidden="1">
      <c r="B71" s="901" t="s">
        <v>246</v>
      </c>
      <c r="C71" s="902">
        <v>57</v>
      </c>
      <c r="D71" s="905">
        <v>11.635544256632505</v>
      </c>
      <c r="E71" s="905">
        <v>12.940312997421533</v>
      </c>
      <c r="F71" s="905">
        <v>22.238594038328291</v>
      </c>
      <c r="G71" s="905">
        <v>28.618242928199884</v>
      </c>
      <c r="H71" s="905">
        <v>13.245009155432861</v>
      </c>
      <c r="I71" s="905">
        <v>14.924662733096369</v>
      </c>
      <c r="J71" s="905">
        <v>22.680177870578451</v>
      </c>
      <c r="K71" s="906">
        <v>29.186505173678171</v>
      </c>
    </row>
    <row r="72" spans="2:11" hidden="1">
      <c r="B72" s="901" t="s">
        <v>264</v>
      </c>
      <c r="C72" s="902">
        <v>68</v>
      </c>
      <c r="D72" s="905">
        <v>11.376420808771252</v>
      </c>
      <c r="E72" s="905">
        <v>12.849678147864511</v>
      </c>
      <c r="F72" s="905">
        <v>19.995555424351952</v>
      </c>
      <c r="G72" s="905">
        <v>25.014495582839633</v>
      </c>
      <c r="H72" s="905">
        <v>11.175610411025794</v>
      </c>
      <c r="I72" s="905">
        <v>12.576964391665681</v>
      </c>
      <c r="J72" s="905">
        <v>20.212192276372829</v>
      </c>
      <c r="K72" s="906">
        <v>25.285508888694434</v>
      </c>
    </row>
    <row r="73" spans="2:11" hidden="1">
      <c r="B73" s="901" t="s">
        <v>276</v>
      </c>
      <c r="C73" s="902">
        <v>43</v>
      </c>
      <c r="D73" s="905">
        <v>12.446438332700554</v>
      </c>
      <c r="E73" s="905">
        <v>12.760394435192657</v>
      </c>
      <c r="F73" s="905">
        <v>23.127763287334602</v>
      </c>
      <c r="G73" s="905">
        <v>33.41035325008793</v>
      </c>
      <c r="H73" s="905">
        <v>17.489110613747904</v>
      </c>
      <c r="I73" s="905">
        <v>18.104015677362828</v>
      </c>
      <c r="J73" s="905">
        <v>23.541164614480561</v>
      </c>
      <c r="K73" s="906">
        <v>34.007552564280388</v>
      </c>
    </row>
    <row r="74" spans="2:11" hidden="1">
      <c r="B74" s="901" t="s">
        <v>284</v>
      </c>
      <c r="C74" s="902">
        <v>17</v>
      </c>
      <c r="D74" s="905">
        <v>12.613560917701902</v>
      </c>
      <c r="E74" s="905">
        <v>12.631994561427968</v>
      </c>
      <c r="F74" s="905">
        <v>33.578774668897871</v>
      </c>
      <c r="G74" s="905">
        <v>37.906891662099298</v>
      </c>
      <c r="H74" s="905">
        <v>13.846957905649504</v>
      </c>
      <c r="I74" s="905">
        <v>13.868686521468994</v>
      </c>
      <c r="J74" s="905">
        <v>34.333971084163529</v>
      </c>
      <c r="K74" s="906">
        <v>38.759428688222435</v>
      </c>
    </row>
    <row r="75" spans="2:11" hidden="1">
      <c r="B75" s="901" t="s">
        <v>266</v>
      </c>
      <c r="C75" s="902">
        <v>72</v>
      </c>
      <c r="D75" s="905">
        <v>10.292959353275418</v>
      </c>
      <c r="E75" s="905">
        <v>12.610910959671749</v>
      </c>
      <c r="F75" s="905">
        <v>18.862943171557092</v>
      </c>
      <c r="G75" s="905">
        <v>23.435411568279118</v>
      </c>
      <c r="H75" s="905">
        <v>11.265611515278579</v>
      </c>
      <c r="I75" s="905">
        <v>14.093376516825284</v>
      </c>
      <c r="J75" s="905">
        <v>18.912703514742514</v>
      </c>
      <c r="K75" s="906">
        <v>23.497234058636167</v>
      </c>
    </row>
    <row r="76" spans="2:11" hidden="1">
      <c r="B76" s="901" t="s">
        <v>281</v>
      </c>
      <c r="C76" s="902">
        <v>82</v>
      </c>
      <c r="D76" s="905">
        <v>12.012920191172574</v>
      </c>
      <c r="E76" s="905">
        <v>12.510605460521338</v>
      </c>
      <c r="F76" s="905">
        <v>16.772528178110687</v>
      </c>
      <c r="G76" s="905">
        <v>21.617883971846346</v>
      </c>
      <c r="H76" s="905">
        <v>13.287626666559722</v>
      </c>
      <c r="I76" s="905">
        <v>13.895093727994103</v>
      </c>
      <c r="J76" s="905">
        <v>16.881559375349568</v>
      </c>
      <c r="K76" s="906">
        <v>21.758412802455066</v>
      </c>
    </row>
    <row r="77" spans="2:11" hidden="1">
      <c r="B77" s="901" t="s">
        <v>292</v>
      </c>
      <c r="C77" s="902">
        <v>18</v>
      </c>
      <c r="D77" s="905">
        <v>11.008067762226531</v>
      </c>
      <c r="E77" s="905">
        <v>12.153718575448424</v>
      </c>
      <c r="F77" s="905">
        <v>19.061250080564882</v>
      </c>
      <c r="G77" s="905">
        <v>25.6561861505911</v>
      </c>
      <c r="H77" s="905">
        <v>12.33353651442</v>
      </c>
      <c r="I77" s="905">
        <v>13.789788189957891</v>
      </c>
      <c r="J77" s="905">
        <v>19.06303995835631</v>
      </c>
      <c r="K77" s="906">
        <v>25.658595302016614</v>
      </c>
    </row>
    <row r="78" spans="2:11" hidden="1">
      <c r="B78" s="901" t="s">
        <v>258</v>
      </c>
      <c r="C78" s="902">
        <v>44</v>
      </c>
      <c r="D78" s="905">
        <v>11.291851455475655</v>
      </c>
      <c r="E78" s="905">
        <v>12.010468803767779</v>
      </c>
      <c r="F78" s="905">
        <v>15.394243623712891</v>
      </c>
      <c r="G78" s="905">
        <v>20.615203475936816</v>
      </c>
      <c r="H78" s="905">
        <v>11.164344907618995</v>
      </c>
      <c r="I78" s="905">
        <v>11.86559146339191</v>
      </c>
      <c r="J78" s="905">
        <v>15.409297213741489</v>
      </c>
      <c r="K78" s="906">
        <v>20.635362493103781</v>
      </c>
    </row>
    <row r="79" spans="2:11" hidden="1">
      <c r="B79" s="901" t="s">
        <v>336</v>
      </c>
      <c r="C79" s="902">
        <v>36</v>
      </c>
      <c r="D79" s="905">
        <v>10.943100535010375</v>
      </c>
      <c r="E79" s="905">
        <v>12.006297422349427</v>
      </c>
      <c r="F79" s="905">
        <v>20.886700335224798</v>
      </c>
      <c r="G79" s="905">
        <v>27.077733166452685</v>
      </c>
      <c r="H79" s="905">
        <v>11.879432308218817</v>
      </c>
      <c r="I79" s="905">
        <v>13.123681205050604</v>
      </c>
      <c r="J79" s="905">
        <v>21.177668242241054</v>
      </c>
      <c r="K79" s="906">
        <v>27.454946954161414</v>
      </c>
    </row>
    <row r="80" spans="2:11" hidden="1">
      <c r="B80" s="901" t="s">
        <v>295</v>
      </c>
      <c r="C80" s="902">
        <v>50</v>
      </c>
      <c r="D80" s="905">
        <v>11.773604889791214</v>
      </c>
      <c r="E80" s="905">
        <v>11.773604889791214</v>
      </c>
      <c r="F80" s="905">
        <v>15.658885816047809</v>
      </c>
      <c r="G80" s="905">
        <v>20.002347148003324</v>
      </c>
      <c r="H80" s="905">
        <v>21.55524894036893</v>
      </c>
      <c r="I80" s="905">
        <v>21.55524894036893</v>
      </c>
      <c r="J80" s="905">
        <v>18.123489877423836</v>
      </c>
      <c r="K80" s="906">
        <v>23.150583018495457</v>
      </c>
    </row>
    <row r="81" spans="2:11" hidden="1">
      <c r="B81" s="901" t="s">
        <v>339</v>
      </c>
      <c r="C81" s="902">
        <v>14</v>
      </c>
      <c r="D81" s="905">
        <v>11.689036675252945</v>
      </c>
      <c r="E81" s="905">
        <v>11.69639755876778</v>
      </c>
      <c r="F81" s="905">
        <v>19.078266611364857</v>
      </c>
      <c r="G81" s="905">
        <v>22.627883255079709</v>
      </c>
      <c r="H81" s="905">
        <v>13.08178262646712</v>
      </c>
      <c r="I81" s="905">
        <v>13.091002796846167</v>
      </c>
      <c r="J81" s="905">
        <v>19.078266611364857</v>
      </c>
      <c r="K81" s="906">
        <v>22.627883255079709</v>
      </c>
    </row>
    <row r="82" spans="2:11" hidden="1">
      <c r="B82" s="901" t="s">
        <v>306</v>
      </c>
      <c r="C82" s="902">
        <v>50</v>
      </c>
      <c r="D82" s="905">
        <v>11.658379219782056</v>
      </c>
      <c r="E82" s="905">
        <v>11.691846058595218</v>
      </c>
      <c r="F82" s="905">
        <v>22.339910401761529</v>
      </c>
      <c r="G82" s="905">
        <v>25.76074267771801</v>
      </c>
      <c r="H82" s="905">
        <v>13.342089869376908</v>
      </c>
      <c r="I82" s="905">
        <v>13.3850311261155</v>
      </c>
      <c r="J82" s="905">
        <v>22.810948770885382</v>
      </c>
      <c r="K82" s="906">
        <v>26.303909503372541</v>
      </c>
    </row>
    <row r="83" spans="2:11" hidden="1">
      <c r="B83" s="901" t="s">
        <v>318</v>
      </c>
      <c r="C83" s="902">
        <v>62</v>
      </c>
      <c r="D83" s="905">
        <v>11.617025547423168</v>
      </c>
      <c r="E83" s="905">
        <v>11.632873296385332</v>
      </c>
      <c r="F83" s="905">
        <v>13.822749735595126</v>
      </c>
      <c r="G83" s="905">
        <v>18.032325799652661</v>
      </c>
      <c r="H83" s="905">
        <v>14.009723966983696</v>
      </c>
      <c r="I83" s="905">
        <v>14.031126221012546</v>
      </c>
      <c r="J83" s="905">
        <v>14.888216698793087</v>
      </c>
      <c r="K83" s="906">
        <v>19.422269752676488</v>
      </c>
    </row>
    <row r="84" spans="2:11" hidden="1">
      <c r="B84" s="901" t="s">
        <v>316</v>
      </c>
      <c r="C84" s="902">
        <v>30</v>
      </c>
      <c r="D84" s="905">
        <v>11.607610977978993</v>
      </c>
      <c r="E84" s="905">
        <v>11.625721407059311</v>
      </c>
      <c r="F84" s="905">
        <v>17.424466432833757</v>
      </c>
      <c r="G84" s="905">
        <v>23.532333992675703</v>
      </c>
      <c r="H84" s="905">
        <v>14.084024918079384</v>
      </c>
      <c r="I84" s="905">
        <v>14.10930545219261</v>
      </c>
      <c r="J84" s="905">
        <v>18.381106320070479</v>
      </c>
      <c r="K84" s="906">
        <v>24.824308666560114</v>
      </c>
    </row>
    <row r="85" spans="2:11" hidden="1">
      <c r="B85" s="901" t="s">
        <v>293</v>
      </c>
      <c r="C85" s="902">
        <v>21</v>
      </c>
      <c r="D85" s="905">
        <v>11.431202022512725</v>
      </c>
      <c r="E85" s="905">
        <v>11.479314259662191</v>
      </c>
      <c r="F85" s="905">
        <v>17.340883842855348</v>
      </c>
      <c r="G85" s="905">
        <v>21.974937954443121</v>
      </c>
      <c r="H85" s="905">
        <v>9.0938100640290553</v>
      </c>
      <c r="I85" s="905">
        <v>9.1241320937956267</v>
      </c>
      <c r="J85" s="905">
        <v>17.397951213263294</v>
      </c>
      <c r="K85" s="906">
        <v>22.047255601876905</v>
      </c>
    </row>
    <row r="86" spans="2:11" hidden="1">
      <c r="B86" s="901" t="s">
        <v>286</v>
      </c>
      <c r="C86" s="902">
        <v>119</v>
      </c>
      <c r="D86" s="905">
        <v>11.132936114292596</v>
      </c>
      <c r="E86" s="905">
        <v>11.292454334901061</v>
      </c>
      <c r="F86" s="905">
        <v>15.455594645482641</v>
      </c>
      <c r="G86" s="905">
        <v>20.31335666125446</v>
      </c>
      <c r="H86" s="905">
        <v>12.99087204676316</v>
      </c>
      <c r="I86" s="905">
        <v>13.204202566311292</v>
      </c>
      <c r="J86" s="905">
        <v>15.768683922858347</v>
      </c>
      <c r="K86" s="906">
        <v>20.724851288541803</v>
      </c>
    </row>
    <row r="87" spans="2:11" hidden="1">
      <c r="B87" s="901" t="s">
        <v>282</v>
      </c>
      <c r="C87" s="902">
        <v>14</v>
      </c>
      <c r="D87" s="905">
        <v>11.256367425384894</v>
      </c>
      <c r="E87" s="905">
        <v>11.256367425384894</v>
      </c>
      <c r="F87" s="905">
        <v>18.0515417386402</v>
      </c>
      <c r="G87" s="905">
        <v>23.878534719280452</v>
      </c>
      <c r="H87" s="905">
        <v>13.12878916930565</v>
      </c>
      <c r="I87" s="905">
        <v>13.12878916930565</v>
      </c>
      <c r="J87" s="905">
        <v>18.053323118779403</v>
      </c>
      <c r="K87" s="906">
        <v>23.88089112451819</v>
      </c>
    </row>
    <row r="88" spans="2:11" hidden="1">
      <c r="B88" s="901" t="s">
        <v>268</v>
      </c>
      <c r="C88" s="902">
        <v>45</v>
      </c>
      <c r="D88" s="905">
        <v>9.8875132068811933</v>
      </c>
      <c r="E88" s="905">
        <v>11.117699163080328</v>
      </c>
      <c r="F88" s="905">
        <v>14.030171302852379</v>
      </c>
      <c r="G88" s="905">
        <v>18.218547163034511</v>
      </c>
      <c r="H88" s="905">
        <v>13.036412404032754</v>
      </c>
      <c r="I88" s="905">
        <v>15.255939064584421</v>
      </c>
      <c r="J88" s="905">
        <v>14.069167942664793</v>
      </c>
      <c r="K88" s="906">
        <v>18.269185327479295</v>
      </c>
    </row>
    <row r="89" spans="2:11" hidden="1">
      <c r="B89" s="901" t="s">
        <v>335</v>
      </c>
      <c r="C89" s="902">
        <v>16</v>
      </c>
      <c r="D89" s="905">
        <v>10.525868296393483</v>
      </c>
      <c r="E89" s="905">
        <v>10.84266449583115</v>
      </c>
      <c r="F89" s="905">
        <v>11.674129778938338</v>
      </c>
      <c r="G89" s="905">
        <v>14.822765970683854</v>
      </c>
      <c r="H89" s="905">
        <v>10.647328151985397</v>
      </c>
      <c r="I89" s="905">
        <v>10.970760898249896</v>
      </c>
      <c r="J89" s="905">
        <v>11.703181201947963</v>
      </c>
      <c r="K89" s="906">
        <v>14.85965286953981</v>
      </c>
    </row>
    <row r="90" spans="2:11" hidden="1">
      <c r="B90" s="901" t="s">
        <v>272</v>
      </c>
      <c r="C90" s="902">
        <v>31</v>
      </c>
      <c r="D90" s="905">
        <v>8.2180455738363474</v>
      </c>
      <c r="E90" s="905">
        <v>10.79885515422891</v>
      </c>
      <c r="F90" s="905">
        <v>31.741208061314889</v>
      </c>
      <c r="G90" s="905">
        <v>56.684511366708662</v>
      </c>
      <c r="H90" s="905">
        <v>15.786083145340127</v>
      </c>
      <c r="I90" s="905">
        <v>23.239738287704682</v>
      </c>
      <c r="J90" s="905">
        <v>45.432797198551043</v>
      </c>
      <c r="K90" s="906">
        <v>81.135409346986023</v>
      </c>
    </row>
    <row r="91" spans="2:11" hidden="1">
      <c r="B91" s="901" t="s">
        <v>338</v>
      </c>
      <c r="C91" s="902">
        <v>22</v>
      </c>
      <c r="D91" s="905">
        <v>10.373607692261267</v>
      </c>
      <c r="E91" s="905">
        <v>10.57224029827716</v>
      </c>
      <c r="F91" s="905">
        <v>20.589002549993637</v>
      </c>
      <c r="G91" s="905">
        <v>28.252742066849262</v>
      </c>
      <c r="H91" s="905">
        <v>9.7869219993491345</v>
      </c>
      <c r="I91" s="905">
        <v>9.9634616748918905</v>
      </c>
      <c r="J91" s="905">
        <v>20.596956883230433</v>
      </c>
      <c r="K91" s="906">
        <v>28.263657201018933</v>
      </c>
    </row>
    <row r="92" spans="2:11" hidden="1">
      <c r="B92" s="901" t="s">
        <v>308</v>
      </c>
      <c r="C92" s="902">
        <v>21</v>
      </c>
      <c r="D92" s="905">
        <v>9.6432162430914445</v>
      </c>
      <c r="E92" s="905">
        <v>10.524430352410006</v>
      </c>
      <c r="F92" s="905">
        <v>18.911615383953578</v>
      </c>
      <c r="G92" s="905">
        <v>24.956318376589731</v>
      </c>
      <c r="H92" s="905">
        <v>10.78587074222078</v>
      </c>
      <c r="I92" s="905">
        <v>11.89442003395629</v>
      </c>
      <c r="J92" s="905">
        <v>19.003475633033375</v>
      </c>
      <c r="K92" s="906">
        <v>25.077539836292932</v>
      </c>
    </row>
    <row r="93" spans="2:11" hidden="1">
      <c r="B93" s="901" t="s">
        <v>298</v>
      </c>
      <c r="C93" s="902">
        <v>68</v>
      </c>
      <c r="D93" s="905">
        <v>10.288877470377145</v>
      </c>
      <c r="E93" s="905">
        <v>10.355846578641355</v>
      </c>
      <c r="F93" s="905">
        <v>14.873774197012049</v>
      </c>
      <c r="G93" s="905">
        <v>23.617368154260951</v>
      </c>
      <c r="H93" s="905">
        <v>9.0502741778871858</v>
      </c>
      <c r="I93" s="905">
        <v>9.1015165805097897</v>
      </c>
      <c r="J93" s="905">
        <v>15.027547644144043</v>
      </c>
      <c r="K93" s="906">
        <v>23.861537795749502</v>
      </c>
    </row>
    <row r="94" spans="2:11" hidden="1">
      <c r="B94" s="901" t="s">
        <v>313</v>
      </c>
      <c r="C94" s="902">
        <v>55</v>
      </c>
      <c r="D94" s="905">
        <v>8.6045883644831882</v>
      </c>
      <c r="E94" s="905">
        <v>9.9873894498440308</v>
      </c>
      <c r="F94" s="905">
        <v>21.71796210872423</v>
      </c>
      <c r="G94" s="905">
        <v>29.245098840779139</v>
      </c>
      <c r="H94" s="905">
        <v>10.267390998219859</v>
      </c>
      <c r="I94" s="905">
        <v>12.189388471092402</v>
      </c>
      <c r="J94" s="905">
        <v>22.755475001184994</v>
      </c>
      <c r="K94" s="906">
        <v>30.642198943297924</v>
      </c>
    </row>
    <row r="95" spans="2:11" hidden="1">
      <c r="B95" s="901" t="s">
        <v>283</v>
      </c>
      <c r="C95" s="902">
        <v>31</v>
      </c>
      <c r="D95" s="905">
        <v>8.0699601799313161</v>
      </c>
      <c r="E95" s="905">
        <v>9.3651533150560073</v>
      </c>
      <c r="F95" s="905">
        <v>16.699225224322326</v>
      </c>
      <c r="G95" s="905">
        <v>19.427233341583086</v>
      </c>
      <c r="H95" s="905">
        <v>8.5760164706467901</v>
      </c>
      <c r="I95" s="905">
        <v>10.006524874496755</v>
      </c>
      <c r="J95" s="905">
        <v>17.168132045622901</v>
      </c>
      <c r="K95" s="906">
        <v>19.972741418185244</v>
      </c>
    </row>
    <row r="96" spans="2:11" hidden="1">
      <c r="B96" s="901" t="s">
        <v>299</v>
      </c>
      <c r="C96" s="902">
        <v>17</v>
      </c>
      <c r="D96" s="905">
        <v>8.0537449816047815</v>
      </c>
      <c r="E96" s="905">
        <v>9.3426486012209295</v>
      </c>
      <c r="F96" s="905">
        <v>15.610563143808655</v>
      </c>
      <c r="G96" s="905">
        <v>22.938198814913832</v>
      </c>
      <c r="H96" s="905">
        <v>9.5921048656331678</v>
      </c>
      <c r="I96" s="905">
        <v>11.476466919359398</v>
      </c>
      <c r="J96" s="905">
        <v>15.621721919714362</v>
      </c>
      <c r="K96" s="906">
        <v>22.954595546914991</v>
      </c>
    </row>
    <row r="97" spans="2:11" hidden="1">
      <c r="B97" s="901" t="s">
        <v>322</v>
      </c>
      <c r="C97" s="902">
        <v>105</v>
      </c>
      <c r="D97" s="905">
        <v>9.2265956422851669</v>
      </c>
      <c r="E97" s="905">
        <v>9.3415485589048952</v>
      </c>
      <c r="F97" s="905">
        <v>20.317569846397642</v>
      </c>
      <c r="G97" s="905">
        <v>26.806519678830433</v>
      </c>
      <c r="H97" s="905">
        <v>14.399412931735652</v>
      </c>
      <c r="I97" s="905">
        <v>14.677977275877687</v>
      </c>
      <c r="J97" s="905">
        <v>20.559704254399293</v>
      </c>
      <c r="K97" s="906">
        <v>27.125986072798266</v>
      </c>
    </row>
    <row r="98" spans="2:11" hidden="1">
      <c r="B98" s="901" t="s">
        <v>332</v>
      </c>
      <c r="C98" s="902">
        <v>13</v>
      </c>
      <c r="D98" s="905">
        <v>8.9978607239062729</v>
      </c>
      <c r="E98" s="905">
        <v>9.0095138936051899</v>
      </c>
      <c r="F98" s="905">
        <v>23.512660928635778</v>
      </c>
      <c r="G98" s="905">
        <v>31.111270840555552</v>
      </c>
      <c r="H98" s="905">
        <v>10.77029760371266</v>
      </c>
      <c r="I98" s="905">
        <v>10.786996069661763</v>
      </c>
      <c r="J98" s="905">
        <v>23.515643904559671</v>
      </c>
      <c r="K98" s="906">
        <v>31.11521782776218</v>
      </c>
    </row>
    <row r="99" spans="2:11" hidden="1">
      <c r="B99" s="901" t="s">
        <v>279</v>
      </c>
      <c r="C99" s="902">
        <v>42</v>
      </c>
      <c r="D99" s="905">
        <v>8.1267982933733531</v>
      </c>
      <c r="E99" s="905">
        <v>8.9728445584552468</v>
      </c>
      <c r="F99" s="905">
        <v>10.564710180101258</v>
      </c>
      <c r="G99" s="905">
        <v>13.484854766902682</v>
      </c>
      <c r="H99" s="905">
        <v>8.858314783338308</v>
      </c>
      <c r="I99" s="905">
        <v>9.8624605889020192</v>
      </c>
      <c r="J99" s="905">
        <v>10.664529170115321</v>
      </c>
      <c r="K99" s="906">
        <v>13.612264280308343</v>
      </c>
    </row>
    <row r="100" spans="2:11" hidden="1">
      <c r="B100" s="901" t="s">
        <v>269</v>
      </c>
      <c r="C100" s="902">
        <v>23</v>
      </c>
      <c r="D100" s="905">
        <v>8.5650597448134995</v>
      </c>
      <c r="E100" s="905">
        <v>8.9346371681963657</v>
      </c>
      <c r="F100" s="905">
        <v>10.510496860016763</v>
      </c>
      <c r="G100" s="905">
        <v>12.68590467502557</v>
      </c>
      <c r="H100" s="905">
        <v>92.970477270063384</v>
      </c>
      <c r="I100" s="905">
        <v>168.53399881814374</v>
      </c>
      <c r="J100" s="905">
        <v>10.525476335043882</v>
      </c>
      <c r="K100" s="906">
        <v>12.703984523657544</v>
      </c>
    </row>
    <row r="101" spans="2:11" hidden="1">
      <c r="B101" s="901" t="s">
        <v>289</v>
      </c>
      <c r="C101" s="902">
        <v>32</v>
      </c>
      <c r="D101" s="905">
        <v>8.7521522544824109</v>
      </c>
      <c r="E101" s="905">
        <v>8.7526157560373488</v>
      </c>
      <c r="F101" s="905">
        <v>13.412731417361721</v>
      </c>
      <c r="G101" s="905">
        <v>16.608759445046307</v>
      </c>
      <c r="H101" s="905">
        <v>10.156649629262592</v>
      </c>
      <c r="I101" s="905">
        <v>10.15726948919686</v>
      </c>
      <c r="J101" s="905">
        <v>13.506710039474784</v>
      </c>
      <c r="K101" s="906">
        <v>16.725131590218197</v>
      </c>
    </row>
    <row r="102" spans="2:11" hidden="1">
      <c r="B102" s="901" t="s">
        <v>304</v>
      </c>
      <c r="C102" s="902">
        <v>22</v>
      </c>
      <c r="D102" s="905">
        <v>8.3928009066638847</v>
      </c>
      <c r="E102" s="905">
        <v>8.6311154282377931</v>
      </c>
      <c r="F102" s="905">
        <v>14.02966201208884</v>
      </c>
      <c r="G102" s="905">
        <v>17.743096177639039</v>
      </c>
      <c r="H102" s="905">
        <v>8.6546352588358548</v>
      </c>
      <c r="I102" s="905">
        <v>8.9082208950198343</v>
      </c>
      <c r="J102" s="905">
        <v>14.032626523566742</v>
      </c>
      <c r="K102" s="906">
        <v>17.746845349374382</v>
      </c>
    </row>
    <row r="103" spans="2:11" hidden="1">
      <c r="B103" s="901" t="s">
        <v>326</v>
      </c>
      <c r="C103" s="902">
        <v>8</v>
      </c>
      <c r="D103" s="905">
        <v>8.384720595362964</v>
      </c>
      <c r="E103" s="905">
        <v>8.384720595362964</v>
      </c>
      <c r="F103" s="905">
        <v>14.228088437354392</v>
      </c>
      <c r="G103" s="905">
        <v>17.481946810830177</v>
      </c>
      <c r="H103" s="905">
        <v>5.1641866502159699</v>
      </c>
      <c r="I103" s="905">
        <v>5.1641866502159699</v>
      </c>
      <c r="J103" s="905">
        <v>14.277518709013201</v>
      </c>
      <c r="K103" s="906">
        <v>17.542681419262568</v>
      </c>
    </row>
    <row r="104" spans="2:11" hidden="1">
      <c r="B104" s="901" t="s">
        <v>262</v>
      </c>
      <c r="C104" s="902">
        <v>32</v>
      </c>
      <c r="D104" s="905">
        <v>7.5878347908208719</v>
      </c>
      <c r="E104" s="905">
        <v>8.0995322699832801</v>
      </c>
      <c r="F104" s="905">
        <v>14.05606834124257</v>
      </c>
      <c r="G104" s="905">
        <v>17.95361248001667</v>
      </c>
      <c r="H104" s="905">
        <v>5.807154176429739</v>
      </c>
      <c r="I104" s="905">
        <v>6.0961400573494249</v>
      </c>
      <c r="J104" s="905">
        <v>14.336429351176175</v>
      </c>
      <c r="K104" s="906">
        <v>18.311713536774132</v>
      </c>
    </row>
    <row r="105" spans="2:11" hidden="1">
      <c r="B105" s="901" t="s">
        <v>323</v>
      </c>
      <c r="C105" s="902">
        <v>3</v>
      </c>
      <c r="D105" s="905">
        <v>6.0552581896005968</v>
      </c>
      <c r="E105" s="905">
        <v>7.9475865714228098</v>
      </c>
      <c r="F105" s="905">
        <v>29.777572649378406</v>
      </c>
      <c r="G105" s="905">
        <v>29.777572649378406</v>
      </c>
      <c r="H105" s="905">
        <v>5.449530056170687</v>
      </c>
      <c r="I105" s="905">
        <v>6.9285579822172547</v>
      </c>
      <c r="J105" s="905">
        <v>29.891203194893194</v>
      </c>
      <c r="K105" s="906">
        <v>29.891203194893194</v>
      </c>
    </row>
    <row r="106" spans="2:11" hidden="1">
      <c r="B106" s="901" t="s">
        <v>249</v>
      </c>
      <c r="C106" s="902">
        <v>38</v>
      </c>
      <c r="D106" s="905">
        <v>7.8511771041402563</v>
      </c>
      <c r="E106" s="905">
        <v>7.9181161902182877</v>
      </c>
      <c r="F106" s="905">
        <v>12.388401308447197</v>
      </c>
      <c r="G106" s="905">
        <v>16.088597171072596</v>
      </c>
      <c r="H106" s="905">
        <v>9.5984283947299893</v>
      </c>
      <c r="I106" s="905">
        <v>9.6976776837130814</v>
      </c>
      <c r="J106" s="905">
        <v>12.510621078512559</v>
      </c>
      <c r="K106" s="906">
        <v>16.247321819876309</v>
      </c>
    </row>
    <row r="107" spans="2:11" hidden="1">
      <c r="B107" s="901" t="s">
        <v>260</v>
      </c>
      <c r="C107" s="902">
        <v>10</v>
      </c>
      <c r="D107" s="905">
        <v>7.7627830231639319</v>
      </c>
      <c r="E107" s="905">
        <v>7.8008723610498603</v>
      </c>
      <c r="F107" s="905">
        <v>13.348955942597875</v>
      </c>
      <c r="G107" s="905">
        <v>18.035125501098911</v>
      </c>
      <c r="H107" s="905">
        <v>7.9216401870127875</v>
      </c>
      <c r="I107" s="905">
        <v>7.9613082252280325</v>
      </c>
      <c r="J107" s="905">
        <v>13.349006084131313</v>
      </c>
      <c r="K107" s="906">
        <v>18.035193244887434</v>
      </c>
    </row>
    <row r="108" spans="2:11" hidden="1">
      <c r="B108" s="901" t="s">
        <v>288</v>
      </c>
      <c r="C108" s="902">
        <v>32</v>
      </c>
      <c r="D108" s="905">
        <v>7.7926513257951306</v>
      </c>
      <c r="E108" s="905">
        <v>7.7926513257951306</v>
      </c>
      <c r="F108" s="905">
        <v>8.1068864527413051</v>
      </c>
      <c r="G108" s="905">
        <v>10.61343645790768</v>
      </c>
      <c r="H108" s="905">
        <v>7.3166992010591736</v>
      </c>
      <c r="I108" s="905">
        <v>7.3166992010591736</v>
      </c>
      <c r="J108" s="905">
        <v>8.1131721692740904</v>
      </c>
      <c r="K108" s="906">
        <v>10.621665641010472</v>
      </c>
    </row>
    <row r="109" spans="2:11" hidden="1">
      <c r="B109" s="901" t="s">
        <v>302</v>
      </c>
      <c r="C109" s="902">
        <v>24</v>
      </c>
      <c r="D109" s="905">
        <v>7.3113271099998061</v>
      </c>
      <c r="E109" s="905">
        <v>7.3117668440851462</v>
      </c>
      <c r="F109" s="905">
        <v>9.2923197649384655</v>
      </c>
      <c r="G109" s="905">
        <v>11.325837648217675</v>
      </c>
      <c r="H109" s="905">
        <v>12.232313256812262</v>
      </c>
      <c r="I109" s="905">
        <v>12.233535100521731</v>
      </c>
      <c r="J109" s="905">
        <v>9.3613964408945378</v>
      </c>
      <c r="K109" s="906">
        <v>11.41003096452056</v>
      </c>
    </row>
    <row r="110" spans="2:11" hidden="1">
      <c r="B110" s="901" t="s">
        <v>256</v>
      </c>
      <c r="C110" s="902">
        <v>22</v>
      </c>
      <c r="D110" s="905">
        <v>7.3080777793765961</v>
      </c>
      <c r="E110" s="905">
        <v>7.3098296438361263</v>
      </c>
      <c r="F110" s="905">
        <v>10.673057550494407</v>
      </c>
      <c r="G110" s="905">
        <v>12.781570306383152</v>
      </c>
      <c r="H110" s="905">
        <v>6.333416653357153</v>
      </c>
      <c r="I110" s="905">
        <v>6.3347310647168431</v>
      </c>
      <c r="J110" s="905">
        <v>10.68350787634518</v>
      </c>
      <c r="K110" s="906">
        <v>12.794085143294163</v>
      </c>
    </row>
    <row r="111" spans="2:11" hidden="1">
      <c r="B111" s="901" t="s">
        <v>314</v>
      </c>
      <c r="C111" s="902">
        <v>1</v>
      </c>
      <c r="D111" s="905">
        <v>7.2830308277311326</v>
      </c>
      <c r="E111" s="905">
        <v>7.2830308277311326</v>
      </c>
      <c r="F111" s="905">
        <v>7.1425014429623443</v>
      </c>
      <c r="G111" s="905">
        <v>9.270319817085273</v>
      </c>
      <c r="H111" s="905">
        <v>11.844508030362737</v>
      </c>
      <c r="I111" s="905">
        <v>11.844508030362737</v>
      </c>
      <c r="J111" s="905">
        <v>7.1425014429623443</v>
      </c>
      <c r="K111" s="906">
        <v>9.270319817085273</v>
      </c>
    </row>
    <row r="112" spans="2:11" hidden="1">
      <c r="B112" s="901" t="s">
        <v>305</v>
      </c>
      <c r="C112" s="902">
        <v>7</v>
      </c>
      <c r="D112" s="905">
        <v>7.0149582512926045</v>
      </c>
      <c r="E112" s="905">
        <v>7.0633686570128136</v>
      </c>
      <c r="F112" s="905">
        <v>10.309929699692999</v>
      </c>
      <c r="G112" s="905">
        <v>14.787501754546637</v>
      </c>
      <c r="H112" s="905">
        <v>4.3405620476052107</v>
      </c>
      <c r="I112" s="905">
        <v>4.3590274169609433</v>
      </c>
      <c r="J112" s="905">
        <v>10.321314985793064</v>
      </c>
      <c r="K112" s="906">
        <v>14.803831636813996</v>
      </c>
    </row>
    <row r="113" spans="2:12">
      <c r="B113" s="901" t="s">
        <v>251</v>
      </c>
      <c r="C113" s="902">
        <v>39</v>
      </c>
      <c r="D113" s="905">
        <v>5.0766095335191412</v>
      </c>
      <c r="E113" s="905">
        <v>7.0555269605485504</v>
      </c>
      <c r="F113" s="905">
        <v>14.11643631329104</v>
      </c>
      <c r="G113" s="905">
        <v>20.120392861048732</v>
      </c>
      <c r="H113" s="905">
        <v>6.2047510142489521</v>
      </c>
      <c r="I113" s="905">
        <v>9.1079602088794616</v>
      </c>
      <c r="J113" s="905">
        <v>15.181569851805268</v>
      </c>
      <c r="K113" s="906">
        <v>21.638545514364456</v>
      </c>
    </row>
    <row r="114" spans="2:12" hidden="1">
      <c r="B114" s="901" t="s">
        <v>320</v>
      </c>
      <c r="C114" s="902">
        <v>14</v>
      </c>
      <c r="D114" s="905">
        <v>5.6191512205439951</v>
      </c>
      <c r="E114" s="905">
        <v>6.3798048221013888</v>
      </c>
      <c r="F114" s="905">
        <v>19.804920951092498</v>
      </c>
      <c r="G114" s="905">
        <v>29.281597136891847</v>
      </c>
      <c r="H114" s="905">
        <v>6.7492311597162313</v>
      </c>
      <c r="I114" s="905">
        <v>7.8227619832795092</v>
      </c>
      <c r="J114" s="905">
        <v>20.66720882801981</v>
      </c>
      <c r="K114" s="906">
        <v>30.556490699484858</v>
      </c>
    </row>
    <row r="115" spans="2:12" hidden="1">
      <c r="B115" s="901" t="s">
        <v>300</v>
      </c>
      <c r="C115" s="902">
        <v>4</v>
      </c>
      <c r="D115" s="905">
        <v>6.1844761152968406</v>
      </c>
      <c r="E115" s="905">
        <v>6.2381265148709089</v>
      </c>
      <c r="F115" s="905">
        <v>8.5388407205521357</v>
      </c>
      <c r="G115" s="905">
        <v>12.108825870401271</v>
      </c>
      <c r="H115" s="905">
        <v>4.6067509540011944</v>
      </c>
      <c r="I115" s="905">
        <v>4.6364536949145139</v>
      </c>
      <c r="J115" s="905">
        <v>8.5388407205521357</v>
      </c>
      <c r="K115" s="906">
        <v>12.108825870401271</v>
      </c>
    </row>
    <row r="116" spans="2:12" hidden="1">
      <c r="B116" s="901" t="s">
        <v>334</v>
      </c>
      <c r="C116" s="902">
        <v>42</v>
      </c>
      <c r="D116" s="905">
        <v>6.0861855094795496</v>
      </c>
      <c r="E116" s="905">
        <v>6.178012041794295</v>
      </c>
      <c r="F116" s="905">
        <v>11.212869716340027</v>
      </c>
      <c r="G116" s="905">
        <v>12.691207533977465</v>
      </c>
      <c r="H116" s="905">
        <v>6.3842542702523355</v>
      </c>
      <c r="I116" s="905">
        <v>6.4851683253157031</v>
      </c>
      <c r="J116" s="905">
        <v>11.234940963249262</v>
      </c>
      <c r="K116" s="906">
        <v>12.71618871918205</v>
      </c>
    </row>
    <row r="117" spans="2:12" hidden="1">
      <c r="B117" s="901" t="s">
        <v>248</v>
      </c>
      <c r="C117" s="902">
        <v>25</v>
      </c>
      <c r="D117" s="905">
        <v>6.0280829670958411</v>
      </c>
      <c r="E117" s="905">
        <v>6.1674965255190735</v>
      </c>
      <c r="F117" s="905">
        <v>13.024537501330959</v>
      </c>
      <c r="G117" s="905">
        <v>17.572555047933992</v>
      </c>
      <c r="H117" s="905">
        <v>10.738526409852014</v>
      </c>
      <c r="I117" s="905">
        <v>11.171303517575188</v>
      </c>
      <c r="J117" s="905">
        <v>13.538278667440197</v>
      </c>
      <c r="K117" s="906">
        <v>18.265688675206501</v>
      </c>
    </row>
    <row r="118" spans="2:12" hidden="1">
      <c r="B118" s="901" t="s">
        <v>331</v>
      </c>
      <c r="C118" s="902">
        <v>29</v>
      </c>
      <c r="D118" s="905">
        <v>5.919933434164772</v>
      </c>
      <c r="E118" s="905">
        <v>5.9315455318515609</v>
      </c>
      <c r="F118" s="905">
        <v>7.7262015562222341</v>
      </c>
      <c r="G118" s="905">
        <v>9.6484845942308759</v>
      </c>
      <c r="H118" s="905">
        <v>4.1295218199748138</v>
      </c>
      <c r="I118" s="905">
        <v>4.1351505574985197</v>
      </c>
      <c r="J118" s="905">
        <v>7.7512566459577483</v>
      </c>
      <c r="K118" s="906">
        <v>9.6797734035585972</v>
      </c>
      <c r="L118" s="213"/>
    </row>
    <row r="119" spans="2:12" hidden="1">
      <c r="B119" s="901" t="s">
        <v>303</v>
      </c>
      <c r="C119" s="902">
        <v>100</v>
      </c>
      <c r="D119" s="905">
        <v>5.3092919548207105</v>
      </c>
      <c r="E119" s="905">
        <v>5.4241303880351577</v>
      </c>
      <c r="F119" s="905">
        <v>7.0794352962597635</v>
      </c>
      <c r="G119" s="905">
        <v>9.0525281303815284</v>
      </c>
      <c r="H119" s="905">
        <v>5.4179219053188366</v>
      </c>
      <c r="I119" s="905">
        <v>5.5369577125069842</v>
      </c>
      <c r="J119" s="905">
        <v>7.1145178480983562</v>
      </c>
      <c r="K119" s="906">
        <v>9.0973884580932918</v>
      </c>
      <c r="L119" s="213"/>
    </row>
    <row r="120" spans="2:12" hidden="1">
      <c r="B120" s="901" t="s">
        <v>301</v>
      </c>
      <c r="C120" s="902">
        <v>166</v>
      </c>
      <c r="D120" s="905">
        <v>4.6651393399468279</v>
      </c>
      <c r="E120" s="905">
        <v>4.6683778175149708</v>
      </c>
      <c r="F120" s="905">
        <v>6.9825673409011877</v>
      </c>
      <c r="G120" s="905">
        <v>8.7587253429148486</v>
      </c>
      <c r="H120" s="905">
        <v>4.2850236638093975</v>
      </c>
      <c r="I120" s="905">
        <v>4.2877364557850557</v>
      </c>
      <c r="J120" s="905">
        <v>7.0321839967492181</v>
      </c>
      <c r="K120" s="906">
        <v>8.8209630041918441</v>
      </c>
      <c r="L120" s="213"/>
    </row>
    <row r="121" spans="2:12" hidden="1">
      <c r="B121" s="907" t="s">
        <v>265</v>
      </c>
      <c r="C121" s="908">
        <v>18</v>
      </c>
      <c r="D121" s="909">
        <v>2.7218206983734707</v>
      </c>
      <c r="E121" s="909">
        <v>2.7528990930238861</v>
      </c>
      <c r="F121" s="909">
        <v>4.0368281544460292</v>
      </c>
      <c r="G121" s="909">
        <v>4.7982519617285631</v>
      </c>
      <c r="H121" s="909">
        <v>5.4236725679060127</v>
      </c>
      <c r="I121" s="909">
        <v>5.50119833692826</v>
      </c>
      <c r="J121" s="909">
        <v>6.4439730775417701</v>
      </c>
      <c r="K121" s="910">
        <v>7.6594309387648307</v>
      </c>
    </row>
  </sheetData>
  <mergeCells count="11">
    <mergeCell ref="C23:H23"/>
    <mergeCell ref="C17:H17"/>
    <mergeCell ref="I17:I23"/>
    <mergeCell ref="J17:L17"/>
    <mergeCell ref="C18:H18"/>
    <mergeCell ref="J18:L23"/>
    <mergeCell ref="C19:F19"/>
    <mergeCell ref="G19:H19"/>
    <mergeCell ref="C20:H20"/>
    <mergeCell ref="C21:H21"/>
    <mergeCell ref="C22:H22"/>
  </mergeCells>
  <hyperlinks>
    <hyperlink ref="C18" r:id="rId1" xr:uid="{F0906AA2-AAE7-4FD5-AE90-62562E0B34F8}"/>
    <hyperlink ref="C20" r:id="rId2" xr:uid="{F8203EF9-EAE5-48F5-A0AD-3A2EE75239E0}"/>
    <hyperlink ref="C21" r:id="rId3" display="http://www.stern.nyu.edu/~adamodar/New_Home_Page/data.html" xr:uid="{D41108DA-8498-407B-AEA7-092D72219922}"/>
    <hyperlink ref="C22" r:id="rId4" display="http://www.stern.nyu.edu/~adamodar/pc/datasets/indname.xls" xr:uid="{3EB2BB50-6BB5-4522-9A64-2F851D32272E}"/>
    <hyperlink ref="C23" r:id="rId5" display="http://www.stern.nyu.edu/~adamodar/New_Home_Page/datafile/variable.htm" xr:uid="{7B363D60-7912-4C26-A025-A564754D815A}"/>
    <hyperlink ref="I17:I23" r:id="rId6" tooltip="https://youtu.be/kZzwtlIAx4U?si=l5t2TNIqrxV9slQ7" display="YouTube Video explaining estimation choices and process." xr:uid="{2F7F5FEE-A14F-4005-929D-A5E2DF9FF1EC}"/>
  </hyperlinks>
  <pageMargins left="0.7" right="0.7" top="0.75" bottom="0.75" header="0.3" footer="0.3"/>
  <tableParts count="1"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C52-0D23-4B18-9632-AE91CF4E8E6E}">
  <sheetPr>
    <tabColor theme="0" tint="-0.249977111117893"/>
    <outlinePr summaryBelow="0"/>
  </sheetPr>
  <dimension ref="A1:XEW70"/>
  <sheetViews>
    <sheetView showGridLines="0" zoomScale="150" zoomScaleNormal="15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5" sqref="F15"/>
    </sheetView>
  </sheetViews>
  <sheetFormatPr baseColWidth="10" defaultColWidth="0" defaultRowHeight="16" outlineLevelRow="1"/>
  <cols>
    <col min="1" max="1" width="2" style="180" bestFit="1" customWidth="1"/>
    <col min="2" max="2" width="35.33203125" style="180" customWidth="1"/>
    <col min="3" max="3" width="8.6640625" style="578" customWidth="1"/>
    <col min="4" max="7" width="8.6640625" style="180" customWidth="1"/>
    <col min="8" max="8" width="8.6640625" style="333" customWidth="1"/>
    <col min="9" max="18" width="8.6640625" style="180" customWidth="1"/>
    <col min="19" max="16377" width="0.6640625" style="180" hidden="1"/>
    <col min="16378" max="16384" width="0" style="180" hidden="1"/>
  </cols>
  <sheetData>
    <row r="1" spans="1:17">
      <c r="C1" s="180"/>
    </row>
    <row r="2" spans="1:17">
      <c r="A2" s="582" t="s">
        <v>10</v>
      </c>
      <c r="B2" s="583" t="str">
        <f>"SGC - "&amp;Cover!B7</f>
        <v>SGC - YOUR PROJECT</v>
      </c>
      <c r="C2" s="584" t="s">
        <v>12</v>
      </c>
      <c r="D2" s="585"/>
      <c r="E2" s="586">
        <v>2021</v>
      </c>
      <c r="F2" s="586">
        <f>+E2+1</f>
        <v>2022</v>
      </c>
      <c r="G2" s="586">
        <f t="shared" ref="G2:Q2" si="0">+F2+1</f>
        <v>2023</v>
      </c>
      <c r="H2" s="513">
        <f t="shared" si="0"/>
        <v>2024</v>
      </c>
      <c r="I2" s="512">
        <f t="shared" si="0"/>
        <v>2025</v>
      </c>
      <c r="J2" s="512">
        <f t="shared" si="0"/>
        <v>2026</v>
      </c>
      <c r="K2" s="512">
        <f t="shared" si="0"/>
        <v>2027</v>
      </c>
      <c r="L2" s="512">
        <f t="shared" si="0"/>
        <v>2028</v>
      </c>
      <c r="M2" s="512">
        <f t="shared" si="0"/>
        <v>2029</v>
      </c>
      <c r="N2" s="512">
        <f t="shared" si="0"/>
        <v>2030</v>
      </c>
      <c r="O2" s="512">
        <f t="shared" si="0"/>
        <v>2031</v>
      </c>
      <c r="P2" s="512">
        <f t="shared" si="0"/>
        <v>2032</v>
      </c>
      <c r="Q2" s="512">
        <f t="shared" si="0"/>
        <v>2033</v>
      </c>
    </row>
    <row r="3" spans="1:17">
      <c r="C3" s="180"/>
    </row>
    <row r="4" spans="1:17" ht="17" thickBot="1">
      <c r="A4" s="582" t="s">
        <v>10</v>
      </c>
      <c r="B4" s="592" t="s">
        <v>26</v>
      </c>
      <c r="C4" s="593"/>
      <c r="D4" s="594"/>
      <c r="E4" s="595"/>
      <c r="F4" s="595"/>
      <c r="G4" s="595"/>
      <c r="H4" s="911"/>
      <c r="I4" s="595"/>
      <c r="J4" s="595"/>
      <c r="K4" s="595"/>
      <c r="L4" s="595"/>
      <c r="M4" s="595"/>
      <c r="N4" s="595"/>
      <c r="O4" s="595"/>
      <c r="P4" s="595"/>
      <c r="Q4" s="595"/>
    </row>
    <row r="5" spans="1:17" outlineLevel="1">
      <c r="B5" s="184" t="s">
        <v>27</v>
      </c>
      <c r="E5" s="598">
        <f>+DATE(E2,1,1)</f>
        <v>44197</v>
      </c>
      <c r="F5" s="598">
        <f t="shared" ref="F5:Q5" si="1">+DATE(F2,1,1)</f>
        <v>44562</v>
      </c>
      <c r="G5" s="598">
        <f t="shared" si="1"/>
        <v>44927</v>
      </c>
      <c r="H5" s="912">
        <f t="shared" si="1"/>
        <v>45292</v>
      </c>
      <c r="I5" s="598">
        <f t="shared" si="1"/>
        <v>45658</v>
      </c>
      <c r="J5" s="598">
        <f t="shared" si="1"/>
        <v>46023</v>
      </c>
      <c r="K5" s="598">
        <f t="shared" si="1"/>
        <v>46388</v>
      </c>
      <c r="L5" s="598">
        <f t="shared" si="1"/>
        <v>46753</v>
      </c>
      <c r="M5" s="598">
        <f t="shared" si="1"/>
        <v>47119</v>
      </c>
      <c r="N5" s="598">
        <f t="shared" si="1"/>
        <v>47484</v>
      </c>
      <c r="O5" s="598">
        <f t="shared" si="1"/>
        <v>47849</v>
      </c>
      <c r="P5" s="598">
        <f t="shared" si="1"/>
        <v>48214</v>
      </c>
      <c r="Q5" s="598">
        <f t="shared" si="1"/>
        <v>48580</v>
      </c>
    </row>
    <row r="6" spans="1:17" outlineLevel="1">
      <c r="B6" s="184" t="s">
        <v>28</v>
      </c>
      <c r="E6" s="598">
        <f>+EOMONTH(E5,11)</f>
        <v>44561</v>
      </c>
      <c r="F6" s="598">
        <f t="shared" ref="F6:Q6" si="2">+EOMONTH(F5,11)</f>
        <v>44926</v>
      </c>
      <c r="G6" s="598">
        <f t="shared" si="2"/>
        <v>45291</v>
      </c>
      <c r="H6" s="913">
        <f t="shared" si="2"/>
        <v>45657</v>
      </c>
      <c r="I6" s="598">
        <f t="shared" si="2"/>
        <v>46022</v>
      </c>
      <c r="J6" s="598">
        <f t="shared" si="2"/>
        <v>46387</v>
      </c>
      <c r="K6" s="598">
        <f t="shared" si="2"/>
        <v>46752</v>
      </c>
      <c r="L6" s="598">
        <f t="shared" si="2"/>
        <v>47118</v>
      </c>
      <c r="M6" s="598">
        <f t="shared" si="2"/>
        <v>47483</v>
      </c>
      <c r="N6" s="598">
        <f t="shared" si="2"/>
        <v>47848</v>
      </c>
      <c r="O6" s="598">
        <f t="shared" si="2"/>
        <v>48213</v>
      </c>
      <c r="P6" s="598">
        <f t="shared" si="2"/>
        <v>48579</v>
      </c>
      <c r="Q6" s="598">
        <f t="shared" si="2"/>
        <v>48944</v>
      </c>
    </row>
    <row r="7" spans="1:17" outlineLevel="1">
      <c r="B7" s="184" t="s">
        <v>29</v>
      </c>
      <c r="E7" s="361">
        <v>0</v>
      </c>
      <c r="F7" s="361">
        <v>0</v>
      </c>
      <c r="G7" s="361">
        <v>0</v>
      </c>
      <c r="H7" s="914">
        <v>1</v>
      </c>
      <c r="I7" s="603">
        <f>+H7+1</f>
        <v>2</v>
      </c>
      <c r="J7" s="603">
        <f t="shared" ref="J7:Q7" si="3">+I7+1</f>
        <v>3</v>
      </c>
      <c r="K7" s="603">
        <f t="shared" si="3"/>
        <v>4</v>
      </c>
      <c r="L7" s="603">
        <f t="shared" si="3"/>
        <v>5</v>
      </c>
      <c r="M7" s="603">
        <f t="shared" si="3"/>
        <v>6</v>
      </c>
      <c r="N7" s="603">
        <f t="shared" si="3"/>
        <v>7</v>
      </c>
      <c r="O7" s="603">
        <f t="shared" si="3"/>
        <v>8</v>
      </c>
      <c r="P7" s="603">
        <f t="shared" si="3"/>
        <v>9</v>
      </c>
      <c r="Q7" s="603">
        <f t="shared" si="3"/>
        <v>10</v>
      </c>
    </row>
    <row r="9" spans="1:17" ht="17" thickBot="1">
      <c r="A9" s="582" t="s">
        <v>10</v>
      </c>
      <c r="B9" s="592" t="s">
        <v>25</v>
      </c>
      <c r="C9" s="593"/>
      <c r="D9" s="594"/>
      <c r="E9" s="595"/>
      <c r="F9" s="595"/>
      <c r="G9" s="595"/>
      <c r="H9" s="911"/>
      <c r="I9" s="595"/>
      <c r="J9" s="595"/>
      <c r="K9" s="595"/>
      <c r="L9" s="595"/>
      <c r="M9" s="595"/>
      <c r="N9" s="595"/>
      <c r="O9" s="595"/>
      <c r="P9" s="595"/>
      <c r="Q9" s="595"/>
    </row>
    <row r="10" spans="1:17" outlineLevel="1">
      <c r="B10" s="184" t="str">
        <f>+Macros!B5</f>
        <v>GDP Growth, Annual Var.</v>
      </c>
      <c r="C10" s="372" t="str">
        <f>+Macros!C5</f>
        <v>%</v>
      </c>
      <c r="G10" s="607">
        <f>+Macros!E5</f>
        <v>6.3E-2</v>
      </c>
      <c r="H10" s="915">
        <f>+Macros!F5</f>
        <v>5.5999999999999994E-2</v>
      </c>
      <c r="I10" s="607">
        <f>+Macros!G5</f>
        <v>4.4000000000000004E-2</v>
      </c>
      <c r="J10" s="607">
        <f>+Macros!H5</f>
        <v>5.5E-2</v>
      </c>
      <c r="K10" s="607">
        <f>+Macros!I5</f>
        <v>5.0999999999999997E-2</v>
      </c>
      <c r="L10" s="607">
        <f>+Macros!J5</f>
        <v>0.05</v>
      </c>
      <c r="M10" s="607">
        <f>+Macros!K5</f>
        <v>0.05</v>
      </c>
      <c r="N10" s="607">
        <f>+Macros!L5</f>
        <v>0.05</v>
      </c>
      <c r="O10" s="607">
        <f>+Macros!M5</f>
        <v>0.05</v>
      </c>
      <c r="P10" s="607">
        <f>+Macros!N5</f>
        <v>0.05</v>
      </c>
      <c r="Q10" s="607">
        <f>+Macros!O5</f>
        <v>0.05</v>
      </c>
    </row>
    <row r="11" spans="1:17" outlineLevel="1">
      <c r="B11" s="184" t="str">
        <f>+Macros!B6</f>
        <v>CPI, EOP</v>
      </c>
      <c r="C11" s="372" t="str">
        <f>+Macros!C6</f>
        <v>%</v>
      </c>
      <c r="G11" s="607">
        <f>+Macros!E6</f>
        <v>3.4000000000000002E-2</v>
      </c>
      <c r="H11" s="916">
        <f>+Macros!F6</f>
        <v>0.03</v>
      </c>
      <c r="I11" s="607">
        <f>+Macros!G6</f>
        <v>2.4E-2</v>
      </c>
      <c r="J11" s="607">
        <f>+Macros!H6</f>
        <v>2.3E-2</v>
      </c>
      <c r="K11" s="607">
        <f>+Macros!I6</f>
        <v>2.3E-2</v>
      </c>
      <c r="L11" s="607">
        <f>+Macros!J6</f>
        <v>2.2000000000000002E-2</v>
      </c>
      <c r="M11" s="607">
        <f>+Macros!K6</f>
        <v>0.02</v>
      </c>
      <c r="N11" s="607">
        <f>+Macros!L6</f>
        <v>0.02</v>
      </c>
      <c r="O11" s="607">
        <f>+Macros!M6</f>
        <v>0.02</v>
      </c>
      <c r="P11" s="607">
        <f>+Macros!N6</f>
        <v>0.02</v>
      </c>
      <c r="Q11" s="607">
        <f>+Macros!O6</f>
        <v>0.02</v>
      </c>
    </row>
    <row r="12" spans="1:17" outlineLevel="1">
      <c r="B12" s="184" t="str">
        <f>+Macros!B7</f>
        <v>PPI, AOP</v>
      </c>
      <c r="C12" s="372" t="str">
        <f>+Macros!C7</f>
        <v>%</v>
      </c>
      <c r="G12" s="607">
        <f>+Macros!E7</f>
        <v>0.02</v>
      </c>
      <c r="H12" s="916">
        <f>+Macros!F7</f>
        <v>0.02</v>
      </c>
      <c r="I12" s="607">
        <f>+Macros!G7</f>
        <v>1.8000000000000002E-2</v>
      </c>
      <c r="J12" s="607">
        <f>+Macros!H7</f>
        <v>1.9E-2</v>
      </c>
      <c r="K12" s="607">
        <f>+Macros!I7</f>
        <v>0.02</v>
      </c>
      <c r="L12" s="607">
        <f>+Macros!J7</f>
        <v>0.02</v>
      </c>
      <c r="M12" s="607">
        <f>+Macros!K7</f>
        <v>0.02</v>
      </c>
      <c r="N12" s="607">
        <f>+Macros!L7</f>
        <v>0.02</v>
      </c>
      <c r="O12" s="607">
        <f>+Macros!M7</f>
        <v>0.02</v>
      </c>
      <c r="P12" s="607">
        <f>+Macros!N7</f>
        <v>0.02</v>
      </c>
      <c r="Q12" s="607">
        <f>+Macros!O7</f>
        <v>0.02</v>
      </c>
    </row>
    <row r="13" spans="1:17" outlineLevel="1">
      <c r="B13" s="184" t="str">
        <f>+Macros!B8</f>
        <v>Federal Funds Target Rate, EOP</v>
      </c>
      <c r="C13" s="372" t="str">
        <f>+Macros!C8</f>
        <v>%</v>
      </c>
      <c r="G13" s="607">
        <f>+Macros!E8</f>
        <v>5.5E-2</v>
      </c>
      <c r="H13" s="916">
        <f>+Macros!F8</f>
        <v>0.05</v>
      </c>
      <c r="I13" s="607">
        <f>+Macros!G8</f>
        <v>3.9699999999999999E-2</v>
      </c>
      <c r="J13" s="607">
        <f>+Macros!H8</f>
        <v>3.3000000000000002E-2</v>
      </c>
      <c r="K13" s="607">
        <f>+Macros!I8</f>
        <v>2.86E-2</v>
      </c>
      <c r="L13" s="607">
        <f>+Macros!J8</f>
        <v>2.8799999999999999E-2</v>
      </c>
      <c r="M13" s="607">
        <f>+Macros!K8</f>
        <v>0.03</v>
      </c>
      <c r="N13" s="607">
        <f>+Macros!L8</f>
        <v>0.03</v>
      </c>
      <c r="O13" s="607">
        <f>+Macros!M8</f>
        <v>0.03</v>
      </c>
      <c r="P13" s="607">
        <f>+Macros!N8</f>
        <v>0.03</v>
      </c>
      <c r="Q13" s="607">
        <f>+Macros!O8</f>
        <v>0.03</v>
      </c>
    </row>
    <row r="14" spans="1:17" outlineLevel="1">
      <c r="B14" s="184" t="str">
        <f>+Macros!B9</f>
        <v>SOFR, EOP</v>
      </c>
      <c r="C14" s="372" t="str">
        <f>+Macros!C9</f>
        <v>%</v>
      </c>
      <c r="G14" s="607">
        <f>+Macros!E9</f>
        <v>5.3800000000000001E-2</v>
      </c>
      <c r="H14" s="916">
        <f>+Macros!F9</f>
        <v>4.9100000000000005E-2</v>
      </c>
      <c r="I14" s="607">
        <f>+Macros!G9</f>
        <v>3.7499999999999999E-2</v>
      </c>
      <c r="J14" s="607">
        <f>+Macros!H9</f>
        <v>3.3000000000000002E-2</v>
      </c>
      <c r="K14" s="607">
        <f>+Macros!I9</f>
        <v>2.86E-2</v>
      </c>
      <c r="L14" s="607">
        <f>+Macros!J9</f>
        <v>2.8799999999999999E-2</v>
      </c>
      <c r="M14" s="607">
        <f>+Macros!K9</f>
        <v>0.03</v>
      </c>
      <c r="N14" s="607">
        <f>+Macros!L9</f>
        <v>0.03</v>
      </c>
      <c r="O14" s="607">
        <f>+Macros!M9</f>
        <v>0.03</v>
      </c>
      <c r="P14" s="607">
        <f>+Macros!N9</f>
        <v>0.03</v>
      </c>
      <c r="Q14" s="607">
        <f>+Macros!O9</f>
        <v>0.03</v>
      </c>
    </row>
    <row r="15" spans="1:17" outlineLevel="1">
      <c r="B15" s="184" t="str">
        <f>+Macros!B10</f>
        <v>10-Year Bond Yield, EOP</v>
      </c>
      <c r="C15" s="372" t="str">
        <f>+Macros!C10</f>
        <v>%</v>
      </c>
      <c r="G15" s="607">
        <f>+Macros!E10</f>
        <v>3.8800000000000001E-2</v>
      </c>
      <c r="H15" s="916">
        <f>+Macros!F10</f>
        <v>4.2599999999999999E-2</v>
      </c>
      <c r="I15" s="607">
        <f>+Macros!G10</f>
        <v>0.04</v>
      </c>
      <c r="J15" s="607">
        <f>+Macros!H10</f>
        <v>3.9199999999999999E-2</v>
      </c>
      <c r="K15" s="607">
        <f>+Macros!I10</f>
        <v>3.6799999999999999E-2</v>
      </c>
      <c r="L15" s="607">
        <f>+Macros!J10</f>
        <v>3.6000000000000004E-2</v>
      </c>
      <c r="M15" s="607">
        <f>+Macros!K10</f>
        <v>3.5000000000000003E-2</v>
      </c>
      <c r="N15" s="607">
        <f>+Macros!L10</f>
        <v>3.5000000000000003E-2</v>
      </c>
      <c r="O15" s="607">
        <f>+Macros!M10</f>
        <v>3.5000000000000003E-2</v>
      </c>
      <c r="P15" s="607">
        <f>+Macros!N10</f>
        <v>3.5000000000000003E-2</v>
      </c>
      <c r="Q15" s="607">
        <f>+Macros!O10</f>
        <v>3.5000000000000003E-2</v>
      </c>
    </row>
    <row r="16" spans="1:17">
      <c r="B16" s="184"/>
      <c r="C16" s="372"/>
      <c r="G16" s="607"/>
      <c r="H16" s="916"/>
      <c r="I16" s="607"/>
      <c r="J16" s="607"/>
      <c r="K16" s="607"/>
      <c r="L16" s="607"/>
      <c r="M16" s="607"/>
      <c r="N16" s="607"/>
      <c r="O16" s="607"/>
      <c r="P16" s="607"/>
      <c r="Q16" s="607"/>
    </row>
    <row r="17" spans="1:20" ht="17" thickBot="1">
      <c r="A17" s="582" t="s">
        <v>10</v>
      </c>
      <c r="B17" s="592" t="s">
        <v>103</v>
      </c>
      <c r="C17" s="593"/>
      <c r="D17" s="594"/>
      <c r="E17" s="595"/>
      <c r="F17" s="595"/>
      <c r="G17" s="595"/>
      <c r="H17" s="911"/>
      <c r="I17" s="595"/>
      <c r="J17" s="595"/>
      <c r="K17" s="595"/>
      <c r="L17" s="595"/>
      <c r="M17" s="595"/>
      <c r="N17" s="595"/>
      <c r="O17" s="595"/>
      <c r="P17" s="595"/>
      <c r="Q17" s="595"/>
    </row>
    <row r="18" spans="1:20" outlineLevel="1">
      <c r="B18" s="184" t="s">
        <v>103</v>
      </c>
      <c r="C18" s="182" t="s">
        <v>14</v>
      </c>
      <c r="G18" s="186"/>
      <c r="H18" s="917">
        <f>+WACC!C18</f>
        <v>0.1151013801579529</v>
      </c>
      <c r="I18" s="629">
        <f t="shared" ref="I18:Q19" si="4">+H18</f>
        <v>0.1151013801579529</v>
      </c>
      <c r="J18" s="186">
        <f t="shared" si="4"/>
        <v>0.1151013801579529</v>
      </c>
      <c r="K18" s="186">
        <f t="shared" si="4"/>
        <v>0.1151013801579529</v>
      </c>
      <c r="L18" s="186">
        <f t="shared" si="4"/>
        <v>0.1151013801579529</v>
      </c>
      <c r="M18" s="186">
        <f t="shared" si="4"/>
        <v>0.1151013801579529</v>
      </c>
      <c r="N18" s="186">
        <f t="shared" si="4"/>
        <v>0.1151013801579529</v>
      </c>
      <c r="O18" s="186">
        <f t="shared" si="4"/>
        <v>0.1151013801579529</v>
      </c>
      <c r="P18" s="186">
        <f t="shared" si="4"/>
        <v>0.1151013801579529</v>
      </c>
      <c r="Q18" s="186">
        <f t="shared" si="4"/>
        <v>0.1151013801579529</v>
      </c>
    </row>
    <row r="19" spans="1:20" outlineLevel="1">
      <c r="B19" s="184" t="s">
        <v>115</v>
      </c>
      <c r="C19" s="182" t="s">
        <v>14</v>
      </c>
      <c r="H19" s="917">
        <f>+WACC!C10</f>
        <v>0.13451384948233269</v>
      </c>
      <c r="I19" s="629">
        <f t="shared" si="4"/>
        <v>0.13451384948233269</v>
      </c>
      <c r="J19" s="186">
        <f t="shared" si="4"/>
        <v>0.13451384948233269</v>
      </c>
      <c r="K19" s="186">
        <f t="shared" si="4"/>
        <v>0.13451384948233269</v>
      </c>
      <c r="L19" s="186">
        <f t="shared" si="4"/>
        <v>0.13451384948233269</v>
      </c>
      <c r="M19" s="186">
        <f t="shared" si="4"/>
        <v>0.13451384948233269</v>
      </c>
      <c r="N19" s="186">
        <f t="shared" si="4"/>
        <v>0.13451384948233269</v>
      </c>
      <c r="O19" s="186">
        <f t="shared" si="4"/>
        <v>0.13451384948233269</v>
      </c>
      <c r="P19" s="186">
        <f t="shared" si="4"/>
        <v>0.13451384948233269</v>
      </c>
      <c r="Q19" s="186">
        <f t="shared" si="4"/>
        <v>0.13451384948233269</v>
      </c>
    </row>
    <row r="20" spans="1:20">
      <c r="C20" s="180"/>
    </row>
    <row r="21" spans="1:20" ht="17" thickBot="1">
      <c r="A21" s="177" t="s">
        <v>10</v>
      </c>
      <c r="B21" s="610" t="s">
        <v>101</v>
      </c>
      <c r="C21" s="594"/>
      <c r="D21" s="594"/>
      <c r="E21" s="594"/>
      <c r="F21" s="594"/>
      <c r="G21" s="595"/>
      <c r="H21" s="911"/>
      <c r="I21" s="595"/>
      <c r="J21" s="595"/>
      <c r="K21" s="595"/>
      <c r="L21" s="595"/>
      <c r="M21" s="595"/>
      <c r="N21" s="595"/>
      <c r="O21" s="595"/>
      <c r="P21" s="595"/>
      <c r="Q21" s="595"/>
      <c r="T21" s="918"/>
    </row>
    <row r="22" spans="1:20" outlineLevel="1">
      <c r="B22" s="184" t="s">
        <v>103</v>
      </c>
      <c r="C22" s="182" t="s">
        <v>14</v>
      </c>
      <c r="H22" s="563">
        <f>+H18</f>
        <v>0.1151013801579529</v>
      </c>
      <c r="I22" s="186">
        <f t="shared" ref="I22:Q22" si="5">+I18</f>
        <v>0.1151013801579529</v>
      </c>
      <c r="J22" s="186">
        <f t="shared" si="5"/>
        <v>0.1151013801579529</v>
      </c>
      <c r="K22" s="186">
        <f t="shared" si="5"/>
        <v>0.1151013801579529</v>
      </c>
      <c r="L22" s="186">
        <f t="shared" si="5"/>
        <v>0.1151013801579529</v>
      </c>
      <c r="M22" s="186">
        <f t="shared" si="5"/>
        <v>0.1151013801579529</v>
      </c>
      <c r="N22" s="186">
        <f t="shared" si="5"/>
        <v>0.1151013801579529</v>
      </c>
      <c r="O22" s="186">
        <f t="shared" si="5"/>
        <v>0.1151013801579529</v>
      </c>
      <c r="P22" s="186">
        <f t="shared" si="5"/>
        <v>0.1151013801579529</v>
      </c>
      <c r="Q22" s="186">
        <f t="shared" si="5"/>
        <v>0.1151013801579529</v>
      </c>
    </row>
    <row r="23" spans="1:20" outlineLevel="1">
      <c r="B23" s="184" t="s">
        <v>102</v>
      </c>
      <c r="C23" s="182" t="s">
        <v>14</v>
      </c>
      <c r="H23" s="563">
        <f>+H11</f>
        <v>0.03</v>
      </c>
      <c r="I23" s="186">
        <f t="shared" ref="I23:Q23" si="6">+I11</f>
        <v>2.4E-2</v>
      </c>
      <c r="J23" s="186">
        <f t="shared" si="6"/>
        <v>2.3E-2</v>
      </c>
      <c r="K23" s="186">
        <f t="shared" si="6"/>
        <v>2.3E-2</v>
      </c>
      <c r="L23" s="186">
        <f t="shared" si="6"/>
        <v>2.2000000000000002E-2</v>
      </c>
      <c r="M23" s="186">
        <f t="shared" si="6"/>
        <v>0.02</v>
      </c>
      <c r="N23" s="186">
        <f t="shared" si="6"/>
        <v>0.02</v>
      </c>
      <c r="O23" s="186">
        <f t="shared" si="6"/>
        <v>0.02</v>
      </c>
      <c r="P23" s="186">
        <f t="shared" si="6"/>
        <v>0.02</v>
      </c>
      <c r="Q23" s="186">
        <f t="shared" si="6"/>
        <v>0.02</v>
      </c>
    </row>
    <row r="25" spans="1:20" ht="17" thickBot="1">
      <c r="A25" s="177" t="s">
        <v>10</v>
      </c>
      <c r="B25" s="610" t="s">
        <v>362</v>
      </c>
      <c r="C25" s="594"/>
      <c r="D25" s="594"/>
      <c r="E25" s="594"/>
      <c r="F25" s="594"/>
      <c r="G25" s="595"/>
      <c r="H25" s="911"/>
      <c r="I25" s="595"/>
      <c r="J25" s="595"/>
      <c r="K25" s="595"/>
      <c r="L25" s="595"/>
      <c r="M25" s="595"/>
      <c r="N25" s="595"/>
      <c r="O25" s="595"/>
      <c r="P25" s="595"/>
      <c r="Q25" s="595"/>
      <c r="T25" s="918"/>
    </row>
    <row r="26" spans="1:20" s="213" customFormat="1" outlineLevel="1">
      <c r="B26" s="919" t="s">
        <v>104</v>
      </c>
      <c r="C26" s="920" t="s">
        <v>67</v>
      </c>
      <c r="D26" s="921"/>
      <c r="E26" s="921"/>
      <c r="F26" s="921"/>
      <c r="G26" s="921"/>
      <c r="H26" s="922">
        <f>+Model!O220</f>
        <v>3.6506250011426991</v>
      </c>
      <c r="I26" s="923">
        <f>+Model!P220</f>
        <v>-5.5203315490185574</v>
      </c>
      <c r="J26" s="923">
        <f>+Model!Q220</f>
        <v>-3.6415091007099303</v>
      </c>
      <c r="K26" s="923">
        <f>+Model!R220</f>
        <v>-1.6997526783631312</v>
      </c>
      <c r="L26" s="923">
        <f>+Model!S220</f>
        <v>0.27641944487194436</v>
      </c>
      <c r="M26" s="923">
        <f>+Model!T220</f>
        <v>2.2415633922860145</v>
      </c>
      <c r="N26" s="923">
        <f>+Model!U220</f>
        <v>4.184028984385602</v>
      </c>
      <c r="O26" s="923">
        <f>+Model!V220</f>
        <v>6.1123502493680366</v>
      </c>
      <c r="P26" s="923">
        <f>+Model!W220</f>
        <v>8.0527060982258618</v>
      </c>
      <c r="Q26" s="923">
        <f>+Model!X220</f>
        <v>10.005207968475482</v>
      </c>
    </row>
    <row r="27" spans="1:20" outlineLevel="1">
      <c r="B27" s="184" t="s">
        <v>105</v>
      </c>
      <c r="C27" s="182" t="s">
        <v>67</v>
      </c>
      <c r="H27" s="383">
        <f t="shared" ref="H27:P27" si="7">(I27+H26)/(1+H22)</f>
        <v>7.329806179433124</v>
      </c>
      <c r="I27" s="201">
        <f t="shared" si="7"/>
        <v>4.5228519858334684</v>
      </c>
      <c r="J27" s="201">
        <f t="shared" si="7"/>
        <v>10.563770040671596</v>
      </c>
      <c r="K27" s="201">
        <f t="shared" si="7"/>
        <v>15.42118365273406</v>
      </c>
      <c r="L27" s="201">
        <f t="shared" si="7"/>
        <v>18.895935853196143</v>
      </c>
      <c r="M27" s="201">
        <f t="shared" si="7"/>
        <v>20.794464704403218</v>
      </c>
      <c r="N27" s="201">
        <f t="shared" si="7"/>
        <v>20.946372899239851</v>
      </c>
      <c r="O27" s="201">
        <f t="shared" si="7"/>
        <v>19.173300344859893</v>
      </c>
      <c r="P27" s="201">
        <f t="shared" si="7"/>
        <v>15.267823427368182</v>
      </c>
      <c r="Q27" s="201">
        <f>(R27+Q26)/(1+Q22)</f>
        <v>8.9724648776403235</v>
      </c>
    </row>
    <row r="28" spans="1:20" outlineLevel="1">
      <c r="B28" s="184" t="s">
        <v>106</v>
      </c>
      <c r="C28" s="182" t="s">
        <v>67</v>
      </c>
      <c r="H28" s="924">
        <v>0</v>
      </c>
      <c r="I28" s="361">
        <v>0</v>
      </c>
      <c r="J28" s="361">
        <v>0</v>
      </c>
      <c r="K28" s="361">
        <v>0</v>
      </c>
      <c r="L28" s="361">
        <v>0</v>
      </c>
      <c r="M28" s="361">
        <v>0</v>
      </c>
      <c r="N28" s="361">
        <v>0</v>
      </c>
      <c r="O28" s="361">
        <v>0</v>
      </c>
      <c r="P28" s="361">
        <v>0</v>
      </c>
      <c r="Q28" s="925">
        <f>(Q26*(1+Q23)/(Q22-Q23))</f>
        <v>107.3098214862402</v>
      </c>
    </row>
    <row r="29" spans="1:20" outlineLevel="1">
      <c r="B29" s="216" t="s">
        <v>107</v>
      </c>
      <c r="C29" s="208" t="s">
        <v>67</v>
      </c>
      <c r="D29" s="292"/>
      <c r="E29" s="292"/>
      <c r="F29" s="292"/>
      <c r="G29" s="292"/>
      <c r="H29" s="574">
        <f t="shared" ref="H29:P29" si="8">(I29+H28)/(1+H22)</f>
        <v>36.099063801713633</v>
      </c>
      <c r="I29" s="294">
        <f t="shared" si="8"/>
        <v>40.254115867700868</v>
      </c>
      <c r="J29" s="294">
        <f t="shared" si="8"/>
        <v>44.887420161111386</v>
      </c>
      <c r="K29" s="294">
        <f t="shared" si="8"/>
        <v>50.054024173385223</v>
      </c>
      <c r="L29" s="294">
        <f t="shared" si="8"/>
        <v>55.815311438201391</v>
      </c>
      <c r="M29" s="294">
        <f t="shared" si="8"/>
        <v>62.239730818684343</v>
      </c>
      <c r="N29" s="294">
        <f t="shared" si="8"/>
        <v>69.403609736574381</v>
      </c>
      <c r="O29" s="294">
        <f t="shared" si="8"/>
        <v>77.392061005198016</v>
      </c>
      <c r="P29" s="294">
        <f t="shared" si="8"/>
        <v>86.29999404016479</v>
      </c>
      <c r="Q29" s="294">
        <f>(R29+Q28)/(1+Q22)</f>
        <v>96.23324246181086</v>
      </c>
    </row>
    <row r="30" spans="1:20" outlineLevel="1">
      <c r="B30" s="213" t="s">
        <v>108</v>
      </c>
      <c r="C30" s="182" t="s">
        <v>67</v>
      </c>
      <c r="H30" s="556">
        <f>+H29+H27</f>
        <v>43.428869981146761</v>
      </c>
      <c r="I30" s="219">
        <f t="shared" ref="I30:Q30" si="9">+I29+I27</f>
        <v>44.776967853534337</v>
      </c>
      <c r="J30" s="219">
        <f t="shared" si="9"/>
        <v>55.451190201782978</v>
      </c>
      <c r="K30" s="219">
        <f t="shared" si="9"/>
        <v>65.475207826119288</v>
      </c>
      <c r="L30" s="219">
        <f t="shared" si="9"/>
        <v>74.711247291397541</v>
      </c>
      <c r="M30" s="219">
        <f t="shared" si="9"/>
        <v>83.034195523087561</v>
      </c>
      <c r="N30" s="219">
        <f t="shared" si="9"/>
        <v>90.349982635814229</v>
      </c>
      <c r="O30" s="219">
        <f t="shared" si="9"/>
        <v>96.565361350057913</v>
      </c>
      <c r="P30" s="219">
        <f t="shared" si="9"/>
        <v>101.56781746753298</v>
      </c>
      <c r="Q30" s="219">
        <f t="shared" si="9"/>
        <v>105.20570733945118</v>
      </c>
    </row>
    <row r="31" spans="1:20" outlineLevel="1">
      <c r="B31" s="184" t="s">
        <v>467</v>
      </c>
      <c r="C31" s="182" t="s">
        <v>67</v>
      </c>
      <c r="H31" s="572">
        <f>-Model!G204</f>
        <v>-1.9739156899999999</v>
      </c>
      <c r="I31" s="214">
        <f>-Model!O204</f>
        <v>-21.358342514285692</v>
      </c>
      <c r="J31" s="214">
        <f>-Model!P204</f>
        <v>-21.358342514285692</v>
      </c>
      <c r="K31" s="214">
        <f>-Model!Q204</f>
        <v>-21.358342514285692</v>
      </c>
      <c r="L31" s="214">
        <f>-Model!R204</f>
        <v>-21.358342514285692</v>
      </c>
      <c r="M31" s="214">
        <f>-Model!S204</f>
        <v>-21.358342514285692</v>
      </c>
      <c r="N31" s="214">
        <f>-Model!T204</f>
        <v>-21.358342514285692</v>
      </c>
      <c r="O31" s="214">
        <f>-Model!U204</f>
        <v>-21.358342514285692</v>
      </c>
      <c r="P31" s="214">
        <f>-Model!V204</f>
        <v>-21.358342514285692</v>
      </c>
      <c r="Q31" s="214">
        <f>-Model!W204</f>
        <v>-21.358342514285692</v>
      </c>
    </row>
    <row r="32" spans="1:20" outlineLevel="1">
      <c r="B32" s="216" t="s">
        <v>468</v>
      </c>
      <c r="C32" s="208" t="s">
        <v>67</v>
      </c>
      <c r="D32" s="292"/>
      <c r="E32" s="292"/>
      <c r="F32" s="292"/>
      <c r="G32" s="292"/>
      <c r="H32" s="571">
        <f>Model!G195</f>
        <v>6.8370514199999999</v>
      </c>
      <c r="I32" s="325">
        <f>Model!O195</f>
        <v>11.582779603388353</v>
      </c>
      <c r="J32" s="325">
        <f>Model!P195</f>
        <v>1.8441754078100194</v>
      </c>
      <c r="K32" s="325">
        <f>Model!Q195</f>
        <v>0</v>
      </c>
      <c r="L32" s="325">
        <f>Model!R195</f>
        <v>0</v>
      </c>
      <c r="M32" s="325">
        <f>Model!S195</f>
        <v>0</v>
      </c>
      <c r="N32" s="325">
        <f>Model!T195</f>
        <v>0</v>
      </c>
      <c r="O32" s="325">
        <f>Model!U195</f>
        <v>0.1259439066713206</v>
      </c>
      <c r="P32" s="325">
        <f>Model!V195</f>
        <v>2.1802090783537569</v>
      </c>
      <c r="Q32" s="325">
        <f>Model!W195</f>
        <v>6.1748300989115776</v>
      </c>
    </row>
    <row r="33" spans="1:20" outlineLevel="1">
      <c r="B33" s="213" t="s">
        <v>110</v>
      </c>
      <c r="C33" s="182" t="s">
        <v>67</v>
      </c>
      <c r="H33" s="556">
        <f>+SUM(H30:H32)</f>
        <v>48.292005711146764</v>
      </c>
      <c r="I33" s="219">
        <f t="shared" ref="I33:Q33" si="10">+SUM(I30:I32)</f>
        <v>35.001404942636995</v>
      </c>
      <c r="J33" s="219">
        <f t="shared" si="10"/>
        <v>35.937023095307303</v>
      </c>
      <c r="K33" s="219">
        <f t="shared" si="10"/>
        <v>44.116865311833593</v>
      </c>
      <c r="L33" s="219">
        <f t="shared" si="10"/>
        <v>53.352904777111846</v>
      </c>
      <c r="M33" s="219">
        <f t="shared" si="10"/>
        <v>61.675853008801866</v>
      </c>
      <c r="N33" s="219">
        <f t="shared" si="10"/>
        <v>68.991640121528533</v>
      </c>
      <c r="O33" s="219">
        <f t="shared" si="10"/>
        <v>75.332962742443542</v>
      </c>
      <c r="P33" s="219">
        <f t="shared" si="10"/>
        <v>82.389684031601035</v>
      </c>
      <c r="Q33" s="219">
        <f t="shared" si="10"/>
        <v>90.02219492407707</v>
      </c>
    </row>
    <row r="34" spans="1:20" outlineLevel="1"/>
    <row r="35" spans="1:20" outlineLevel="1">
      <c r="B35" s="401" t="s">
        <v>111</v>
      </c>
      <c r="C35" s="182" t="s">
        <v>113</v>
      </c>
      <c r="H35" s="926">
        <f>+H30/Model!O216</f>
        <v>12.499653784402328</v>
      </c>
      <c r="I35" s="205">
        <f>+I30/Model!P216</f>
        <v>6.2854564328085001</v>
      </c>
      <c r="J35" s="205">
        <f>+J30/Model!Q216</f>
        <v>5.5054784540905901</v>
      </c>
      <c r="K35" s="205">
        <f>+K30/Model!R216</f>
        <v>5.0271028433960456</v>
      </c>
      <c r="L35" s="205">
        <f>+L30/Model!S216</f>
        <v>4.6749021811230254</v>
      </c>
      <c r="M35" s="205">
        <f>+M30/Model!T216</f>
        <v>4.3834031865403498</v>
      </c>
      <c r="N35" s="205">
        <f>+N30/Model!U216</f>
        <v>4.1238541580905554</v>
      </c>
      <c r="O35" s="205">
        <f>+O30/Model!V216</f>
        <v>3.8812060083243272</v>
      </c>
      <c r="P35" s="205">
        <f>+P30/Model!W216</f>
        <v>3.646120148672666</v>
      </c>
      <c r="Q35" s="205">
        <f>+Q30/Model!X216</f>
        <v>3.4115878879471202</v>
      </c>
    </row>
    <row r="36" spans="1:20" outlineLevel="1">
      <c r="B36" s="401" t="s">
        <v>112</v>
      </c>
      <c r="C36" s="182" t="s">
        <v>113</v>
      </c>
      <c r="H36" s="926">
        <f>+H33/Model!O211</f>
        <v>2.9696207489291648</v>
      </c>
      <c r="I36" s="205">
        <f>+I33/Model!P211</f>
        <v>2.087739362075653</v>
      </c>
      <c r="J36" s="205">
        <f>+J33/Model!Q211</f>
        <v>1.5860681422888776</v>
      </c>
      <c r="K36" s="205">
        <f>+K33/Model!R211</f>
        <v>1.4523949958821918</v>
      </c>
      <c r="L36" s="205">
        <f>+L33/Model!S211</f>
        <v>1.37261862996951</v>
      </c>
      <c r="M36" s="205">
        <f>+M33/Model!T211</f>
        <v>1.2795481677487985</v>
      </c>
      <c r="N36" s="205">
        <f>+N33/Model!U211</f>
        <v>1.1790613258024893</v>
      </c>
      <c r="O36" s="205">
        <f>+O33/Model!V211</f>
        <v>1.0634006590402068</v>
      </c>
      <c r="P36" s="205">
        <f>+P33/Model!W211</f>
        <v>0.96743940901130587</v>
      </c>
      <c r="Q36" s="205">
        <f>+Q33/Model!X211</f>
        <v>0.88730189322859265</v>
      </c>
    </row>
    <row r="38" spans="1:20" ht="17" thickBot="1">
      <c r="A38" s="177" t="s">
        <v>10</v>
      </c>
      <c r="B38" s="610" t="s">
        <v>114</v>
      </c>
      <c r="C38" s="594"/>
      <c r="D38" s="594"/>
      <c r="E38" s="594"/>
      <c r="F38" s="594"/>
      <c r="G38" s="595"/>
      <c r="H38" s="911"/>
      <c r="I38" s="595"/>
      <c r="J38" s="595"/>
      <c r="K38" s="595"/>
      <c r="L38" s="595"/>
      <c r="M38" s="595"/>
      <c r="N38" s="595"/>
      <c r="O38" s="595"/>
      <c r="P38" s="595"/>
      <c r="Q38" s="595"/>
      <c r="T38" s="918"/>
    </row>
    <row r="39" spans="1:20" outlineLevel="1">
      <c r="B39" s="184" t="s">
        <v>115</v>
      </c>
      <c r="C39" s="182" t="s">
        <v>14</v>
      </c>
      <c r="H39" s="563">
        <f>+H19</f>
        <v>0.13451384948233269</v>
      </c>
      <c r="I39" s="186">
        <f t="shared" ref="I39:Q39" si="11">+I19</f>
        <v>0.13451384948233269</v>
      </c>
      <c r="J39" s="186">
        <f t="shared" si="11"/>
        <v>0.13451384948233269</v>
      </c>
      <c r="K39" s="186">
        <f t="shared" si="11"/>
        <v>0.13451384948233269</v>
      </c>
      <c r="L39" s="186">
        <f t="shared" si="11"/>
        <v>0.13451384948233269</v>
      </c>
      <c r="M39" s="186">
        <f t="shared" si="11"/>
        <v>0.13451384948233269</v>
      </c>
      <c r="N39" s="186">
        <f t="shared" si="11"/>
        <v>0.13451384948233269</v>
      </c>
      <c r="O39" s="186">
        <f t="shared" si="11"/>
        <v>0.13451384948233269</v>
      </c>
      <c r="P39" s="186">
        <f t="shared" si="11"/>
        <v>0.13451384948233269</v>
      </c>
      <c r="Q39" s="186">
        <f t="shared" si="11"/>
        <v>0.13451384948233269</v>
      </c>
    </row>
    <row r="40" spans="1:20" outlineLevel="1">
      <c r="B40" s="184" t="s">
        <v>102</v>
      </c>
      <c r="C40" s="182" t="s">
        <v>14</v>
      </c>
      <c r="H40" s="563">
        <f>+H23</f>
        <v>0.03</v>
      </c>
      <c r="I40" s="186">
        <f t="shared" ref="I40:Q40" si="12">+I23</f>
        <v>2.4E-2</v>
      </c>
      <c r="J40" s="186">
        <f t="shared" si="12"/>
        <v>2.3E-2</v>
      </c>
      <c r="K40" s="186">
        <f t="shared" si="12"/>
        <v>2.3E-2</v>
      </c>
      <c r="L40" s="186">
        <f t="shared" si="12"/>
        <v>2.2000000000000002E-2</v>
      </c>
      <c r="M40" s="186">
        <f t="shared" si="12"/>
        <v>0.02</v>
      </c>
      <c r="N40" s="186">
        <f t="shared" si="12"/>
        <v>0.02</v>
      </c>
      <c r="O40" s="186">
        <f t="shared" si="12"/>
        <v>0.02</v>
      </c>
      <c r="P40" s="186">
        <f t="shared" si="12"/>
        <v>0.02</v>
      </c>
      <c r="Q40" s="186">
        <f t="shared" si="12"/>
        <v>0.02</v>
      </c>
    </row>
    <row r="42" spans="1:20" ht="17" thickBot="1">
      <c r="A42" s="177" t="s">
        <v>10</v>
      </c>
      <c r="B42" s="610" t="s">
        <v>363</v>
      </c>
      <c r="C42" s="594"/>
      <c r="D42" s="594"/>
      <c r="E42" s="594"/>
      <c r="F42" s="594"/>
      <c r="G42" s="595"/>
      <c r="H42" s="911"/>
      <c r="I42" s="595"/>
      <c r="J42" s="595"/>
      <c r="K42" s="595"/>
      <c r="L42" s="595"/>
      <c r="M42" s="595"/>
      <c r="N42" s="595"/>
      <c r="O42" s="595"/>
      <c r="P42" s="595"/>
      <c r="Q42" s="595"/>
      <c r="T42" s="918"/>
    </row>
    <row r="43" spans="1:20" outlineLevel="1">
      <c r="B43" s="921" t="s">
        <v>116</v>
      </c>
      <c r="C43" s="920" t="s">
        <v>67</v>
      </c>
      <c r="D43" s="619"/>
      <c r="E43" s="619"/>
      <c r="F43" s="619"/>
      <c r="G43" s="619"/>
      <c r="H43" s="927">
        <f>SUM(Model!O333:O337)</f>
        <v>0</v>
      </c>
      <c r="I43" s="928">
        <f>SUM(Model!P333:P337)</f>
        <v>0</v>
      </c>
      <c r="J43" s="928">
        <f>SUM(Model!Q333:Q337)</f>
        <v>-3.1965266510102173</v>
      </c>
      <c r="K43" s="928">
        <f>SUM(Model!R333:R337)</f>
        <v>-3.0930854813410029</v>
      </c>
      <c r="L43" s="928">
        <f>SUM(Model!S333:S337)</f>
        <v>-2.0282592357856046</v>
      </c>
      <c r="M43" s="928">
        <f>SUM(Model!T333:T337)</f>
        <v>0</v>
      </c>
      <c r="N43" s="928">
        <f>SUM(Model!U333:U337)</f>
        <v>0</v>
      </c>
      <c r="O43" s="928">
        <f>SUM(Model!V333:V337)</f>
        <v>0</v>
      </c>
      <c r="P43" s="928">
        <f>SUM(Model!W333:W337)</f>
        <v>0</v>
      </c>
      <c r="Q43" s="928">
        <f>SUM(Model!X333:X337)</f>
        <v>0</v>
      </c>
    </row>
    <row r="44" spans="1:20" outlineLevel="1">
      <c r="B44" s="184" t="s">
        <v>117</v>
      </c>
      <c r="C44" s="182" t="s">
        <v>67</v>
      </c>
      <c r="H44" s="383">
        <f t="shared" ref="H44:Q44" si="13">(H43+I44)/(1+H39)</f>
        <v>-5.1351837453792299</v>
      </c>
      <c r="I44" s="201">
        <f t="shared" si="13"/>
        <v>-5.8259370787692921</v>
      </c>
      <c r="J44" s="201">
        <f t="shared" si="13"/>
        <v>-6.6096063020764051</v>
      </c>
      <c r="K44" s="201">
        <f t="shared" si="13"/>
        <v>-4.302163238321171</v>
      </c>
      <c r="L44" s="201">
        <f t="shared" si="13"/>
        <v>-1.7877782952681267</v>
      </c>
      <c r="M44" s="201">
        <f t="shared" si="13"/>
        <v>0</v>
      </c>
      <c r="N44" s="201">
        <f t="shared" si="13"/>
        <v>0</v>
      </c>
      <c r="O44" s="201">
        <f t="shared" si="13"/>
        <v>0</v>
      </c>
      <c r="P44" s="201">
        <f t="shared" si="13"/>
        <v>0</v>
      </c>
      <c r="Q44" s="201">
        <f t="shared" si="13"/>
        <v>0</v>
      </c>
    </row>
    <row r="45" spans="1:20" outlineLevel="1">
      <c r="B45" s="184" t="s">
        <v>106</v>
      </c>
      <c r="C45" s="182" t="s">
        <v>67</v>
      </c>
      <c r="H45" s="929">
        <v>0</v>
      </c>
      <c r="I45" s="719">
        <v>0</v>
      </c>
      <c r="J45" s="719">
        <v>0</v>
      </c>
      <c r="K45" s="719">
        <v>0</v>
      </c>
      <c r="L45" s="719">
        <v>0</v>
      </c>
      <c r="M45" s="719">
        <v>0</v>
      </c>
      <c r="N45" s="719">
        <v>0</v>
      </c>
      <c r="O45" s="719">
        <v>0</v>
      </c>
      <c r="P45" s="719">
        <v>0</v>
      </c>
      <c r="Q45" s="925">
        <f>(Q27*(1+Q40))/(Q39-Q40)</f>
        <v>79.919714659536425</v>
      </c>
    </row>
    <row r="46" spans="1:20" outlineLevel="1">
      <c r="B46" s="216" t="s">
        <v>118</v>
      </c>
      <c r="C46" s="208" t="s">
        <v>67</v>
      </c>
      <c r="D46" s="292"/>
      <c r="E46" s="292"/>
      <c r="F46" s="292"/>
      <c r="G46" s="292"/>
      <c r="H46" s="574">
        <f t="shared" ref="H46:Q46" si="14">(H45+I46)/(1+H39)</f>
        <v>22.623297468120398</v>
      </c>
      <c r="I46" s="294">
        <f t="shared" si="14"/>
        <v>25.66644429854118</v>
      </c>
      <c r="J46" s="294">
        <f t="shared" si="14"/>
        <v>29.118936523661819</v>
      </c>
      <c r="K46" s="294">
        <f t="shared" si="14"/>
        <v>33.035836768291261</v>
      </c>
      <c r="L46" s="294">
        <f t="shared" si="14"/>
        <v>37.479614342864103</v>
      </c>
      <c r="M46" s="294">
        <f t="shared" si="14"/>
        <v>42.521141545235999</v>
      </c>
      <c r="N46" s="294">
        <f t="shared" si="14"/>
        <v>48.240823978868832</v>
      </c>
      <c r="O46" s="294">
        <f t="shared" si="14"/>
        <v>54.729882914466096</v>
      </c>
      <c r="P46" s="294">
        <f t="shared" si="14"/>
        <v>62.091810147008275</v>
      </c>
      <c r="Q46" s="294">
        <f t="shared" si="14"/>
        <v>70.444018551208515</v>
      </c>
    </row>
    <row r="47" spans="1:20" outlineLevel="1">
      <c r="B47" s="213" t="s">
        <v>110</v>
      </c>
      <c r="C47" s="211" t="s">
        <v>67</v>
      </c>
      <c r="H47" s="556">
        <f>+SUM(H46,H44)</f>
        <v>17.488113722741168</v>
      </c>
      <c r="I47" s="219">
        <f t="shared" ref="I47:Q47" si="15">+SUM(I46,I44)</f>
        <v>19.840507219771887</v>
      </c>
      <c r="J47" s="219">
        <f t="shared" si="15"/>
        <v>22.509330221585415</v>
      </c>
      <c r="K47" s="219">
        <f t="shared" si="15"/>
        <v>28.73367352997009</v>
      </c>
      <c r="L47" s="219">
        <f t="shared" si="15"/>
        <v>35.691836047595977</v>
      </c>
      <c r="M47" s="219">
        <f t="shared" si="15"/>
        <v>42.521141545235999</v>
      </c>
      <c r="N47" s="219">
        <f t="shared" si="15"/>
        <v>48.240823978868832</v>
      </c>
      <c r="O47" s="219">
        <f t="shared" si="15"/>
        <v>54.729882914466096</v>
      </c>
      <c r="P47" s="219">
        <f t="shared" si="15"/>
        <v>62.091810147008275</v>
      </c>
      <c r="Q47" s="219">
        <f t="shared" si="15"/>
        <v>70.444018551208515</v>
      </c>
    </row>
    <row r="48" spans="1:20" outlineLevel="1">
      <c r="B48" s="184" t="s">
        <v>469</v>
      </c>
      <c r="C48" s="182" t="s">
        <v>67</v>
      </c>
      <c r="H48" s="383">
        <f t="shared" ref="H48:Q48" si="16">-H31</f>
        <v>1.9739156899999999</v>
      </c>
      <c r="I48" s="201">
        <f t="shared" si="16"/>
        <v>21.358342514285692</v>
      </c>
      <c r="J48" s="201">
        <f t="shared" si="16"/>
        <v>21.358342514285692</v>
      </c>
      <c r="K48" s="201">
        <f t="shared" si="16"/>
        <v>21.358342514285692</v>
      </c>
      <c r="L48" s="201">
        <f t="shared" si="16"/>
        <v>21.358342514285692</v>
      </c>
      <c r="M48" s="201">
        <f t="shared" si="16"/>
        <v>21.358342514285692</v>
      </c>
      <c r="N48" s="201">
        <f t="shared" si="16"/>
        <v>21.358342514285692</v>
      </c>
      <c r="O48" s="201">
        <f t="shared" si="16"/>
        <v>21.358342514285692</v>
      </c>
      <c r="P48" s="201">
        <f t="shared" si="16"/>
        <v>21.358342514285692</v>
      </c>
      <c r="Q48" s="201">
        <f t="shared" si="16"/>
        <v>21.358342514285692</v>
      </c>
    </row>
    <row r="49" spans="1:20" outlineLevel="1">
      <c r="B49" s="216" t="s">
        <v>470</v>
      </c>
      <c r="C49" s="208" t="s">
        <v>67</v>
      </c>
      <c r="D49" s="292"/>
      <c r="E49" s="292"/>
      <c r="F49" s="292"/>
      <c r="G49" s="292"/>
      <c r="H49" s="574">
        <f t="shared" ref="H49:Q49" si="17">-H32</f>
        <v>-6.8370514199999999</v>
      </c>
      <c r="I49" s="294">
        <f t="shared" si="17"/>
        <v>-11.582779603388353</v>
      </c>
      <c r="J49" s="294">
        <f t="shared" si="17"/>
        <v>-1.8441754078100194</v>
      </c>
      <c r="K49" s="294">
        <f t="shared" si="17"/>
        <v>0</v>
      </c>
      <c r="L49" s="294">
        <f t="shared" si="17"/>
        <v>0</v>
      </c>
      <c r="M49" s="294">
        <f t="shared" si="17"/>
        <v>0</v>
      </c>
      <c r="N49" s="294">
        <f t="shared" si="17"/>
        <v>0</v>
      </c>
      <c r="O49" s="294">
        <f t="shared" si="17"/>
        <v>-0.1259439066713206</v>
      </c>
      <c r="P49" s="294">
        <f t="shared" si="17"/>
        <v>-2.1802090783537569</v>
      </c>
      <c r="Q49" s="294">
        <f t="shared" si="17"/>
        <v>-6.1748300989115776</v>
      </c>
    </row>
    <row r="50" spans="1:20" outlineLevel="1">
      <c r="B50" s="213" t="s">
        <v>108</v>
      </c>
      <c r="C50" s="211" t="s">
        <v>67</v>
      </c>
      <c r="H50" s="556">
        <f>+SUM(H47:H49)</f>
        <v>12.624977992741167</v>
      </c>
      <c r="I50" s="219">
        <f t="shared" ref="I50:Q50" si="18">+SUM(I47:I49)</f>
        <v>29.616070130669222</v>
      </c>
      <c r="J50" s="219">
        <f t="shared" si="18"/>
        <v>42.02349732806109</v>
      </c>
      <c r="K50" s="219">
        <f t="shared" si="18"/>
        <v>50.092016044255786</v>
      </c>
      <c r="L50" s="219">
        <f t="shared" si="18"/>
        <v>57.050178561881665</v>
      </c>
      <c r="M50" s="219">
        <f t="shared" si="18"/>
        <v>63.879484059521687</v>
      </c>
      <c r="N50" s="219">
        <f t="shared" si="18"/>
        <v>69.599166493154527</v>
      </c>
      <c r="O50" s="219">
        <f t="shared" si="18"/>
        <v>75.96228152208046</v>
      </c>
      <c r="P50" s="219">
        <f t="shared" si="18"/>
        <v>81.269943582940215</v>
      </c>
      <c r="Q50" s="219">
        <f t="shared" si="18"/>
        <v>85.62753096658264</v>
      </c>
    </row>
    <row r="51" spans="1:20" outlineLevel="1">
      <c r="C51" s="182"/>
    </row>
    <row r="52" spans="1:20" outlineLevel="1">
      <c r="B52" s="401" t="s">
        <v>111</v>
      </c>
      <c r="C52" s="182" t="s">
        <v>113</v>
      </c>
      <c r="H52" s="926">
        <f>H50/Model!O239</f>
        <v>3.6337084988274024</v>
      </c>
      <c r="I52" s="205">
        <f>I50/Model!P239</f>
        <v>4.1572828049952308</v>
      </c>
      <c r="J52" s="205">
        <f>J50/Model!Q239</f>
        <v>4.1723082635967419</v>
      </c>
      <c r="K52" s="205">
        <f>K50/Model!R239</f>
        <v>3.8460010231088382</v>
      </c>
      <c r="L52" s="205">
        <f>L50/Model!S239</f>
        <v>3.5697972375185834</v>
      </c>
      <c r="M52" s="205">
        <f>M50/Model!T239</f>
        <v>3.3722195080845281</v>
      </c>
      <c r="N52" s="205">
        <f>N50/Model!U239</f>
        <v>3.1767223829953486</v>
      </c>
      <c r="O52" s="205">
        <f>O50/Model!V239</f>
        <v>3.0531161415194754</v>
      </c>
      <c r="P52" s="205">
        <f>P50/Model!W239</f>
        <v>2.917459350487376</v>
      </c>
      <c r="Q52" s="205">
        <f>Q50/Model!X239</f>
        <v>2.7767110255516125</v>
      </c>
    </row>
    <row r="53" spans="1:20" outlineLevel="1">
      <c r="B53" s="401" t="s">
        <v>112</v>
      </c>
      <c r="C53" s="182" t="s">
        <v>113</v>
      </c>
      <c r="H53" s="926">
        <f>+H47/Model!O211</f>
        <v>1.0753967371187036</v>
      </c>
      <c r="I53" s="205">
        <f>+I47/Model!P211</f>
        <v>1.1834327208907529</v>
      </c>
      <c r="J53" s="205">
        <f>+J47/Model!Q211</f>
        <v>0.99344154005284846</v>
      </c>
      <c r="K53" s="205">
        <f>+K47/Model!R211</f>
        <v>0.94595668466605876</v>
      </c>
      <c r="L53" s="205">
        <f>+L47/Model!S211</f>
        <v>0.91824951802370469</v>
      </c>
      <c r="M53" s="205">
        <f>+M47/Model!T211</f>
        <v>0.88215802620564321</v>
      </c>
      <c r="N53" s="205">
        <f>+N47/Model!U211</f>
        <v>0.8244316235726189</v>
      </c>
      <c r="O53" s="205">
        <f>+O47/Model!V211</f>
        <v>0.77256743186135302</v>
      </c>
      <c r="P53" s="205">
        <f>+P47/Model!W211</f>
        <v>0.72909691084655304</v>
      </c>
      <c r="Q53" s="205">
        <f>+Q47/Model!X211</f>
        <v>0.69433000472642314</v>
      </c>
    </row>
    <row r="55" spans="1:20" ht="17" thickBot="1">
      <c r="A55" s="177" t="s">
        <v>10</v>
      </c>
      <c r="B55" s="610" t="s">
        <v>485</v>
      </c>
      <c r="C55" s="594"/>
      <c r="D55" s="594"/>
      <c r="E55" s="594"/>
      <c r="F55" s="594"/>
      <c r="G55" s="595"/>
      <c r="H55" s="911"/>
      <c r="I55" s="595"/>
      <c r="J55" s="595"/>
      <c r="K55" s="595"/>
      <c r="L55" s="595"/>
      <c r="M55" s="595"/>
      <c r="N55" s="595"/>
      <c r="O55" s="595"/>
      <c r="P55" s="595"/>
      <c r="Q55" s="595"/>
      <c r="T55" s="918"/>
    </row>
    <row r="56" spans="1:20" outlineLevel="1">
      <c r="B56" s="184" t="s">
        <v>486</v>
      </c>
      <c r="C56" s="182" t="s">
        <v>14</v>
      </c>
      <c r="D56" s="930">
        <v>0.25</v>
      </c>
      <c r="G56" s="614"/>
      <c r="H56" s="931">
        <f>+D56</f>
        <v>0.25</v>
      </c>
      <c r="I56" s="614">
        <f>+H56</f>
        <v>0.25</v>
      </c>
      <c r="J56" s="614">
        <f>+I56</f>
        <v>0.25</v>
      </c>
      <c r="K56" s="614">
        <f t="shared" ref="K56:Q56" si="19">+J56</f>
        <v>0.25</v>
      </c>
      <c r="L56" s="614">
        <f t="shared" si="19"/>
        <v>0.25</v>
      </c>
      <c r="M56" s="614">
        <f t="shared" si="19"/>
        <v>0.25</v>
      </c>
      <c r="N56" s="614">
        <f t="shared" si="19"/>
        <v>0.25</v>
      </c>
      <c r="O56" s="614">
        <f t="shared" si="19"/>
        <v>0.25</v>
      </c>
      <c r="P56" s="614">
        <f t="shared" si="19"/>
        <v>0.25</v>
      </c>
      <c r="Q56" s="614">
        <f t="shared" si="19"/>
        <v>0.25</v>
      </c>
    </row>
    <row r="57" spans="1:20" outlineLevel="1">
      <c r="B57" s="184" t="s">
        <v>488</v>
      </c>
      <c r="C57" s="182" t="s">
        <v>154</v>
      </c>
      <c r="D57" s="186">
        <f>+Model!D341</f>
        <v>0.39345196829848961</v>
      </c>
      <c r="H57" s="932">
        <f>+Model!O326</f>
        <v>1</v>
      </c>
      <c r="I57" s="405">
        <f>+Model!P326</f>
        <v>1</v>
      </c>
      <c r="J57" s="405">
        <f>+Model!Q326</f>
        <v>1</v>
      </c>
      <c r="K57" s="405">
        <f>+Model!R326</f>
        <v>1</v>
      </c>
      <c r="L57" s="405">
        <f>+Model!S326</f>
        <v>1</v>
      </c>
      <c r="M57" s="405">
        <f>+Model!T326</f>
        <v>0</v>
      </c>
      <c r="N57" s="405">
        <f>+Model!U326</f>
        <v>0</v>
      </c>
      <c r="O57" s="405">
        <f>+Model!V326</f>
        <v>0</v>
      </c>
      <c r="P57" s="405">
        <f>+Model!W326</f>
        <v>0</v>
      </c>
      <c r="Q57" s="405">
        <f>+Model!X326</f>
        <v>0</v>
      </c>
    </row>
    <row r="58" spans="1:20">
      <c r="B58" s="184"/>
      <c r="C58" s="182"/>
    </row>
    <row r="59" spans="1:20" ht="17" thickBot="1">
      <c r="A59" s="177" t="s">
        <v>10</v>
      </c>
      <c r="B59" s="610" t="s">
        <v>487</v>
      </c>
      <c r="C59" s="594"/>
      <c r="D59" s="594"/>
      <c r="E59" s="594"/>
      <c r="F59" s="594"/>
      <c r="G59" s="595"/>
      <c r="H59" s="911"/>
      <c r="I59" s="595"/>
      <c r="J59" s="595"/>
      <c r="K59" s="595"/>
      <c r="L59" s="595"/>
      <c r="M59" s="595"/>
      <c r="N59" s="595"/>
      <c r="O59" s="595"/>
      <c r="P59" s="595"/>
      <c r="Q59" s="595"/>
      <c r="T59" s="918"/>
    </row>
    <row r="60" spans="1:20" s="213" customFormat="1" outlineLevel="1">
      <c r="B60" s="933" t="s">
        <v>116</v>
      </c>
      <c r="C60" s="934" t="s">
        <v>67</v>
      </c>
      <c r="D60" s="933"/>
      <c r="E60" s="933"/>
      <c r="F60" s="933"/>
      <c r="G60" s="933"/>
      <c r="H60" s="935">
        <f>+SUM(Model!O333:O338)*H57</f>
        <v>0</v>
      </c>
      <c r="I60" s="936">
        <f>+SUM(Model!P333:P338)*I57</f>
        <v>0</v>
      </c>
      <c r="J60" s="936">
        <f>+SUM(Model!Q333:Q338)*J57</f>
        <v>-3.1965266510102173</v>
      </c>
      <c r="K60" s="936">
        <f>+SUM(Model!R333:R338)*K57</f>
        <v>-3.0930854813410029</v>
      </c>
      <c r="L60" s="936">
        <f>+SUM(Model!S333:S338)*L57</f>
        <v>136.42689679344278</v>
      </c>
      <c r="M60" s="936">
        <f>+SUM(Model!T333:T338)*M57</f>
        <v>0</v>
      </c>
      <c r="N60" s="936">
        <f>+SUM(Model!U333:U338)*N57</f>
        <v>0</v>
      </c>
      <c r="O60" s="936">
        <f>+SUM(Model!V333:V338)*O57</f>
        <v>0</v>
      </c>
      <c r="P60" s="936">
        <f>+SUM(Model!W333:W338)*P57</f>
        <v>0</v>
      </c>
      <c r="Q60" s="936">
        <f>+SUM(Model!X333:X338)*Q57</f>
        <v>0</v>
      </c>
    </row>
    <row r="61" spans="1:20" outlineLevel="1">
      <c r="B61" s="937" t="s">
        <v>489</v>
      </c>
      <c r="C61" s="938" t="s">
        <v>67</v>
      </c>
      <c r="D61" s="939"/>
      <c r="E61" s="939"/>
      <c r="F61" s="939"/>
      <c r="G61" s="939"/>
      <c r="H61" s="940">
        <f>(H60+I61)/(1+H56)</f>
        <v>41.800816082800822</v>
      </c>
      <c r="I61" s="941">
        <f t="shared" ref="I61:P61" si="20">(I60+J61)/(1+I56)</f>
        <v>52.251020103501027</v>
      </c>
      <c r="J61" s="941">
        <f t="shared" si="20"/>
        <v>65.313775129376282</v>
      </c>
      <c r="K61" s="941">
        <f t="shared" si="20"/>
        <v>84.838745562730566</v>
      </c>
      <c r="L61" s="941">
        <f t="shared" si="20"/>
        <v>109.14151743475422</v>
      </c>
      <c r="M61" s="941">
        <f t="shared" si="20"/>
        <v>0</v>
      </c>
      <c r="N61" s="941">
        <f t="shared" si="20"/>
        <v>0</v>
      </c>
      <c r="O61" s="941">
        <f t="shared" si="20"/>
        <v>0</v>
      </c>
      <c r="P61" s="941">
        <f t="shared" si="20"/>
        <v>0</v>
      </c>
      <c r="Q61" s="941">
        <f>(Q60+R61)/(1+Q56)</f>
        <v>0</v>
      </c>
    </row>
    <row r="62" spans="1:20" outlineLevel="1">
      <c r="B62" s="213" t="s">
        <v>110</v>
      </c>
      <c r="C62" s="211" t="s">
        <v>67</v>
      </c>
      <c r="H62" s="556">
        <f>+H61</f>
        <v>41.800816082800822</v>
      </c>
      <c r="I62" s="219">
        <f t="shared" ref="I62:Q62" si="21">+I61</f>
        <v>52.251020103501027</v>
      </c>
      <c r="J62" s="219">
        <f t="shared" si="21"/>
        <v>65.313775129376282</v>
      </c>
      <c r="K62" s="219">
        <f t="shared" si="21"/>
        <v>84.838745562730566</v>
      </c>
      <c r="L62" s="219">
        <f t="shared" si="21"/>
        <v>109.14151743475422</v>
      </c>
      <c r="M62" s="219">
        <f>+M61</f>
        <v>0</v>
      </c>
      <c r="N62" s="219">
        <f t="shared" si="21"/>
        <v>0</v>
      </c>
      <c r="O62" s="219">
        <f t="shared" si="21"/>
        <v>0</v>
      </c>
      <c r="P62" s="219">
        <f t="shared" si="21"/>
        <v>0</v>
      </c>
      <c r="Q62" s="219">
        <f t="shared" si="21"/>
        <v>0</v>
      </c>
    </row>
    <row r="63" spans="1:20" outlineLevel="1">
      <c r="B63" s="184" t="s">
        <v>469</v>
      </c>
      <c r="C63" s="182" t="s">
        <v>67</v>
      </c>
      <c r="H63" s="572">
        <f>Model!N204*H57</f>
        <v>21.358342514285692</v>
      </c>
      <c r="I63" s="214">
        <f>Model!O204*I$57</f>
        <v>21.358342514285692</v>
      </c>
      <c r="J63" s="214">
        <f>Model!P204*J57</f>
        <v>21.358342514285692</v>
      </c>
      <c r="K63" s="214">
        <f>Model!Q204*K57</f>
        <v>21.358342514285692</v>
      </c>
      <c r="L63" s="214">
        <f>Model!R204*L57</f>
        <v>21.358342514285692</v>
      </c>
      <c r="M63" s="214">
        <f>Model!S204*M57</f>
        <v>0</v>
      </c>
      <c r="N63" s="214">
        <f>Model!T204*N57</f>
        <v>0</v>
      </c>
      <c r="O63" s="214">
        <f>Model!U204*O57</f>
        <v>0</v>
      </c>
      <c r="P63" s="214">
        <f>Model!V204*P57</f>
        <v>0</v>
      </c>
      <c r="Q63" s="214">
        <f>Model!W204*Q57</f>
        <v>0</v>
      </c>
    </row>
    <row r="64" spans="1:20" outlineLevel="1">
      <c r="B64" s="216" t="s">
        <v>470</v>
      </c>
      <c r="C64" s="208" t="s">
        <v>67</v>
      </c>
      <c r="D64" s="292"/>
      <c r="E64" s="292"/>
      <c r="F64" s="292"/>
      <c r="G64" s="292"/>
      <c r="H64" s="571"/>
      <c r="I64" s="325"/>
      <c r="J64" s="325"/>
      <c r="K64" s="325"/>
      <c r="L64" s="325"/>
      <c r="M64" s="325"/>
      <c r="N64" s="325"/>
      <c r="O64" s="325"/>
      <c r="P64" s="325"/>
      <c r="Q64" s="325"/>
    </row>
    <row r="65" spans="2:17" outlineLevel="1">
      <c r="B65" s="213" t="s">
        <v>108</v>
      </c>
      <c r="C65" s="211" t="s">
        <v>67</v>
      </c>
      <c r="H65" s="556">
        <f>+SUM(H62:H64)</f>
        <v>63.159158597086517</v>
      </c>
      <c r="I65" s="219">
        <f t="shared" ref="I65:Q65" si="22">+SUM(I62:I64)</f>
        <v>73.609362617786715</v>
      </c>
      <c r="J65" s="219">
        <f t="shared" si="22"/>
        <v>86.672117643661977</v>
      </c>
      <c r="K65" s="219">
        <f t="shared" si="22"/>
        <v>106.19708807701626</v>
      </c>
      <c r="L65" s="219">
        <f t="shared" si="22"/>
        <v>130.49985994903992</v>
      </c>
      <c r="M65" s="219">
        <f t="shared" si="22"/>
        <v>0</v>
      </c>
      <c r="N65" s="219">
        <f t="shared" si="22"/>
        <v>0</v>
      </c>
      <c r="O65" s="219">
        <f t="shared" si="22"/>
        <v>0</v>
      </c>
      <c r="P65" s="219">
        <f t="shared" si="22"/>
        <v>0</v>
      </c>
      <c r="Q65" s="219">
        <f t="shared" si="22"/>
        <v>0</v>
      </c>
    </row>
    <row r="66" spans="2:17" outlineLevel="1"/>
    <row r="67" spans="2:17" outlineLevel="1">
      <c r="B67" s="401" t="s">
        <v>111</v>
      </c>
      <c r="C67" s="182" t="s">
        <v>113</v>
      </c>
      <c r="H67" s="926">
        <f>+H65/Model!N178</f>
        <v>13.50876717346007</v>
      </c>
      <c r="I67" s="205">
        <f>+I65/Model!O178</f>
        <v>21.186172894028534</v>
      </c>
      <c r="J67" s="205">
        <f>+J65/Model!P178</f>
        <v>12.166384762149322</v>
      </c>
      <c r="K67" s="205">
        <f>+K65/Model!Q178</f>
        <v>10.543791362595034</v>
      </c>
      <c r="L67" s="205">
        <f>+L65/Model!R178</f>
        <v>10.019612595271505</v>
      </c>
      <c r="M67" s="205">
        <f>+M65/Model!S178</f>
        <v>0</v>
      </c>
      <c r="N67" s="205">
        <f>+N65/Model!T178</f>
        <v>0</v>
      </c>
      <c r="O67" s="205">
        <f>+O65/Model!U178</f>
        <v>0</v>
      </c>
      <c r="P67" s="205">
        <f>+P65/Model!V178</f>
        <v>0</v>
      </c>
      <c r="Q67" s="205">
        <f>+Q65/Model!W178</f>
        <v>0</v>
      </c>
    </row>
    <row r="68" spans="2:17" outlineLevel="1">
      <c r="B68" s="401" t="s">
        <v>112</v>
      </c>
      <c r="C68" s="182" t="s">
        <v>113</v>
      </c>
      <c r="H68" s="926">
        <f>+H62/Model!O211</f>
        <v>2.5704579657374835</v>
      </c>
      <c r="I68" s="205">
        <f>+I62/Model!P211</f>
        <v>3.1166323625427252</v>
      </c>
      <c r="J68" s="205">
        <f>+J62/Model!Q211</f>
        <v>2.8826009797915209</v>
      </c>
      <c r="K68" s="205">
        <f>+K62/Model!R211</f>
        <v>2.7930218668365114</v>
      </c>
      <c r="L68" s="205">
        <f>+L62/Model!S211</f>
        <v>2.8079011022911242</v>
      </c>
      <c r="M68" s="205">
        <f>+M62/Model!T211</f>
        <v>0</v>
      </c>
      <c r="N68" s="205">
        <f>+N62/Model!U211</f>
        <v>0</v>
      </c>
      <c r="O68" s="205">
        <f>+O62/Model!V211</f>
        <v>0</v>
      </c>
      <c r="P68" s="205">
        <f>+P62/Model!W211</f>
        <v>0</v>
      </c>
      <c r="Q68" s="205">
        <f>+Q62/Model!X211</f>
        <v>0</v>
      </c>
    </row>
    <row r="70" spans="2:17">
      <c r="D70" s="206">
        <f>+Model!D341</f>
        <v>0.39345196829848961</v>
      </c>
      <c r="H70" s="35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C3F4-D947-4796-B5BE-FC54C80FC9BD}">
  <sheetPr>
    <tabColor theme="5" tint="-0.499984740745262"/>
  </sheetPr>
  <dimension ref="B2:F18"/>
  <sheetViews>
    <sheetView showGridLines="0" zoomScale="85" zoomScaleNormal="85" workbookViewId="0">
      <selection activeCell="F19" sqref="F19"/>
    </sheetView>
  </sheetViews>
  <sheetFormatPr baseColWidth="10" defaultColWidth="8.6640625" defaultRowHeight="12"/>
  <cols>
    <col min="1" max="1" width="2" style="1" bestFit="1" customWidth="1"/>
    <col min="2" max="2" width="29.1640625" style="1" bestFit="1" customWidth="1"/>
    <col min="3" max="3" width="10.6640625" style="1" bestFit="1" customWidth="1"/>
    <col min="4" max="16384" width="8.6640625" style="1"/>
  </cols>
  <sheetData>
    <row r="2" spans="2:6" ht="13">
      <c r="B2" s="3" t="s">
        <v>178</v>
      </c>
      <c r="C2" s="13"/>
    </row>
    <row r="3" spans="2:6">
      <c r="B3" s="13"/>
      <c r="C3" s="13"/>
    </row>
    <row r="4" spans="2:6">
      <c r="B4" s="4" t="s">
        <v>168</v>
      </c>
      <c r="C4" s="5">
        <v>0.24</v>
      </c>
    </row>
    <row r="5" spans="2:6">
      <c r="B5" s="6"/>
      <c r="C5" s="14"/>
    </row>
    <row r="6" spans="2:6">
      <c r="B6" s="6" t="s">
        <v>169</v>
      </c>
      <c r="C6" s="25">
        <f>+'Rf &amp; RM'!D119</f>
        <v>4.8586785606841654E-2</v>
      </c>
    </row>
    <row r="7" spans="2:6">
      <c r="B7" s="6" t="s">
        <v>177</v>
      </c>
      <c r="C7" s="25">
        <f>+'Rf &amp; RM'!B119-'Rf &amp; RM'!D119</f>
        <v>6.7991707556000716E-2</v>
      </c>
      <c r="D7" s="26"/>
    </row>
    <row r="8" spans="2:6">
      <c r="B8" s="6" t="s">
        <v>170</v>
      </c>
      <c r="C8" s="115">
        <f>Betas!F16</f>
        <v>1.0435695401867646</v>
      </c>
    </row>
    <row r="9" spans="2:6">
      <c r="B9" s="12" t="s">
        <v>171</v>
      </c>
      <c r="C9" s="18">
        <f>C8*(C16*(1-C4)+1)</f>
        <v>1.2637874082617804</v>
      </c>
    </row>
    <row r="10" spans="2:6">
      <c r="B10" s="10" t="s">
        <v>174</v>
      </c>
      <c r="C10" s="11">
        <f>+C6+C7*C9</f>
        <v>0.13451384948233269</v>
      </c>
    </row>
    <row r="11" spans="2:6">
      <c r="B11" s="7"/>
      <c r="C11" s="15"/>
    </row>
    <row r="12" spans="2:6">
      <c r="B12" s="6" t="s">
        <v>175</v>
      </c>
      <c r="C12" s="8">
        <v>8.5000000000000006E-2</v>
      </c>
      <c r="F12" s="17"/>
    </row>
    <row r="13" spans="2:6">
      <c r="B13" s="10" t="s">
        <v>176</v>
      </c>
      <c r="C13" s="11">
        <f>C12*(1-C4)</f>
        <v>6.4600000000000005E-2</v>
      </c>
      <c r="F13" s="17"/>
    </row>
    <row r="14" spans="2:6">
      <c r="B14" s="7"/>
      <c r="C14" s="15"/>
    </row>
    <row r="15" spans="2:6">
      <c r="B15" s="9" t="s">
        <v>172</v>
      </c>
      <c r="C15" s="116">
        <f>+Betas!D16</f>
        <v>0.38439482769903521</v>
      </c>
    </row>
    <row r="16" spans="2:6">
      <c r="B16" s="9" t="s">
        <v>173</v>
      </c>
      <c r="C16" s="16">
        <f>+C15/(C15+1)</f>
        <v>0.2776627158727018</v>
      </c>
      <c r="D16" s="2"/>
    </row>
    <row r="17" spans="2:3">
      <c r="B17" s="7"/>
      <c r="C17" s="15"/>
    </row>
    <row r="18" spans="2:3">
      <c r="B18" s="10" t="s">
        <v>103</v>
      </c>
      <c r="C18" s="11">
        <f>+C13*C16+C10*(1-C16)</f>
        <v>0.1151013801579529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A607-FE63-4664-B8FB-89EDABD6501C}">
  <sheetPr>
    <tabColor theme="5" tint="0.79998168889431442"/>
  </sheetPr>
  <dimension ref="A1:Y129"/>
  <sheetViews>
    <sheetView showGridLines="0" topLeftCell="A98" workbookViewId="0">
      <selection activeCell="G117" sqref="G117"/>
    </sheetView>
  </sheetViews>
  <sheetFormatPr baseColWidth="10" defaultColWidth="9.6640625" defaultRowHeight="16"/>
  <cols>
    <col min="1" max="1" width="14" style="28" bestFit="1" customWidth="1"/>
    <col min="2" max="2" width="7.6640625" style="28" customWidth="1"/>
    <col min="3" max="3" width="11.1640625" style="28" customWidth="1"/>
    <col min="4" max="4" width="12.1640625" style="28" customWidth="1"/>
    <col min="5" max="7" width="11.6640625" style="28" customWidth="1"/>
    <col min="8" max="8" width="10.83203125" style="28" bestFit="1" customWidth="1"/>
    <col min="9" max="9" width="11.6640625" style="28" bestFit="1" customWidth="1"/>
    <col min="10" max="13" width="11.1640625" style="28" customWidth="1"/>
    <col min="14" max="14" width="11.6640625" style="28" customWidth="1"/>
    <col min="15" max="15" width="12.5" style="28" customWidth="1"/>
    <col min="16" max="19" width="9.6640625" style="28"/>
    <col min="20" max="20" width="9.6640625" style="29"/>
    <col min="21" max="256" width="9.6640625" style="28"/>
    <col min="257" max="257" width="14" style="28" bestFit="1" customWidth="1"/>
    <col min="258" max="258" width="7.6640625" style="28" customWidth="1"/>
    <col min="259" max="259" width="11.1640625" style="28" customWidth="1"/>
    <col min="260" max="260" width="12.1640625" style="28" customWidth="1"/>
    <col min="261" max="263" width="11.6640625" style="28" customWidth="1"/>
    <col min="264" max="264" width="10.83203125" style="28" bestFit="1" customWidth="1"/>
    <col min="265" max="265" width="11.6640625" style="28" bestFit="1" customWidth="1"/>
    <col min="266" max="269" width="11.1640625" style="28" customWidth="1"/>
    <col min="270" max="270" width="11.6640625" style="28" customWidth="1"/>
    <col min="271" max="271" width="12.5" style="28" customWidth="1"/>
    <col min="272" max="512" width="9.6640625" style="28"/>
    <col min="513" max="513" width="14" style="28" bestFit="1" customWidth="1"/>
    <col min="514" max="514" width="7.6640625" style="28" customWidth="1"/>
    <col min="515" max="515" width="11.1640625" style="28" customWidth="1"/>
    <col min="516" max="516" width="12.1640625" style="28" customWidth="1"/>
    <col min="517" max="519" width="11.6640625" style="28" customWidth="1"/>
    <col min="520" max="520" width="10.83203125" style="28" bestFit="1" customWidth="1"/>
    <col min="521" max="521" width="11.6640625" style="28" bestFit="1" customWidth="1"/>
    <col min="522" max="525" width="11.1640625" style="28" customWidth="1"/>
    <col min="526" max="526" width="11.6640625" style="28" customWidth="1"/>
    <col min="527" max="527" width="12.5" style="28" customWidth="1"/>
    <col min="528" max="768" width="9.6640625" style="28"/>
    <col min="769" max="769" width="14" style="28" bestFit="1" customWidth="1"/>
    <col min="770" max="770" width="7.6640625" style="28" customWidth="1"/>
    <col min="771" max="771" width="11.1640625" style="28" customWidth="1"/>
    <col min="772" max="772" width="12.1640625" style="28" customWidth="1"/>
    <col min="773" max="775" width="11.6640625" style="28" customWidth="1"/>
    <col min="776" max="776" width="10.83203125" style="28" bestFit="1" customWidth="1"/>
    <col min="777" max="777" width="11.6640625" style="28" bestFit="1" customWidth="1"/>
    <col min="778" max="781" width="11.1640625" style="28" customWidth="1"/>
    <col min="782" max="782" width="11.6640625" style="28" customWidth="1"/>
    <col min="783" max="783" width="12.5" style="28" customWidth="1"/>
    <col min="784" max="1024" width="9.6640625" style="28"/>
    <col min="1025" max="1025" width="14" style="28" bestFit="1" customWidth="1"/>
    <col min="1026" max="1026" width="7.6640625" style="28" customWidth="1"/>
    <col min="1027" max="1027" width="11.1640625" style="28" customWidth="1"/>
    <col min="1028" max="1028" width="12.1640625" style="28" customWidth="1"/>
    <col min="1029" max="1031" width="11.6640625" style="28" customWidth="1"/>
    <col min="1032" max="1032" width="10.83203125" style="28" bestFit="1" customWidth="1"/>
    <col min="1033" max="1033" width="11.6640625" style="28" bestFit="1" customWidth="1"/>
    <col min="1034" max="1037" width="11.1640625" style="28" customWidth="1"/>
    <col min="1038" max="1038" width="11.6640625" style="28" customWidth="1"/>
    <col min="1039" max="1039" width="12.5" style="28" customWidth="1"/>
    <col min="1040" max="1280" width="9.6640625" style="28"/>
    <col min="1281" max="1281" width="14" style="28" bestFit="1" customWidth="1"/>
    <col min="1282" max="1282" width="7.6640625" style="28" customWidth="1"/>
    <col min="1283" max="1283" width="11.1640625" style="28" customWidth="1"/>
    <col min="1284" max="1284" width="12.1640625" style="28" customWidth="1"/>
    <col min="1285" max="1287" width="11.6640625" style="28" customWidth="1"/>
    <col min="1288" max="1288" width="10.83203125" style="28" bestFit="1" customWidth="1"/>
    <col min="1289" max="1289" width="11.6640625" style="28" bestFit="1" customWidth="1"/>
    <col min="1290" max="1293" width="11.1640625" style="28" customWidth="1"/>
    <col min="1294" max="1294" width="11.6640625" style="28" customWidth="1"/>
    <col min="1295" max="1295" width="12.5" style="28" customWidth="1"/>
    <col min="1296" max="1536" width="9.6640625" style="28"/>
    <col min="1537" max="1537" width="14" style="28" bestFit="1" customWidth="1"/>
    <col min="1538" max="1538" width="7.6640625" style="28" customWidth="1"/>
    <col min="1539" max="1539" width="11.1640625" style="28" customWidth="1"/>
    <col min="1540" max="1540" width="12.1640625" style="28" customWidth="1"/>
    <col min="1541" max="1543" width="11.6640625" style="28" customWidth="1"/>
    <col min="1544" max="1544" width="10.83203125" style="28" bestFit="1" customWidth="1"/>
    <col min="1545" max="1545" width="11.6640625" style="28" bestFit="1" customWidth="1"/>
    <col min="1546" max="1549" width="11.1640625" style="28" customWidth="1"/>
    <col min="1550" max="1550" width="11.6640625" style="28" customWidth="1"/>
    <col min="1551" max="1551" width="12.5" style="28" customWidth="1"/>
    <col min="1552" max="1792" width="9.6640625" style="28"/>
    <col min="1793" max="1793" width="14" style="28" bestFit="1" customWidth="1"/>
    <col min="1794" max="1794" width="7.6640625" style="28" customWidth="1"/>
    <col min="1795" max="1795" width="11.1640625" style="28" customWidth="1"/>
    <col min="1796" max="1796" width="12.1640625" style="28" customWidth="1"/>
    <col min="1797" max="1799" width="11.6640625" style="28" customWidth="1"/>
    <col min="1800" max="1800" width="10.83203125" style="28" bestFit="1" customWidth="1"/>
    <col min="1801" max="1801" width="11.6640625" style="28" bestFit="1" customWidth="1"/>
    <col min="1802" max="1805" width="11.1640625" style="28" customWidth="1"/>
    <col min="1806" max="1806" width="11.6640625" style="28" customWidth="1"/>
    <col min="1807" max="1807" width="12.5" style="28" customWidth="1"/>
    <col min="1808" max="2048" width="9.6640625" style="28"/>
    <col min="2049" max="2049" width="14" style="28" bestFit="1" customWidth="1"/>
    <col min="2050" max="2050" width="7.6640625" style="28" customWidth="1"/>
    <col min="2051" max="2051" width="11.1640625" style="28" customWidth="1"/>
    <col min="2052" max="2052" width="12.1640625" style="28" customWidth="1"/>
    <col min="2053" max="2055" width="11.6640625" style="28" customWidth="1"/>
    <col min="2056" max="2056" width="10.83203125" style="28" bestFit="1" customWidth="1"/>
    <col min="2057" max="2057" width="11.6640625" style="28" bestFit="1" customWidth="1"/>
    <col min="2058" max="2061" width="11.1640625" style="28" customWidth="1"/>
    <col min="2062" max="2062" width="11.6640625" style="28" customWidth="1"/>
    <col min="2063" max="2063" width="12.5" style="28" customWidth="1"/>
    <col min="2064" max="2304" width="9.6640625" style="28"/>
    <col min="2305" max="2305" width="14" style="28" bestFit="1" customWidth="1"/>
    <col min="2306" max="2306" width="7.6640625" style="28" customWidth="1"/>
    <col min="2307" max="2307" width="11.1640625" style="28" customWidth="1"/>
    <col min="2308" max="2308" width="12.1640625" style="28" customWidth="1"/>
    <col min="2309" max="2311" width="11.6640625" style="28" customWidth="1"/>
    <col min="2312" max="2312" width="10.83203125" style="28" bestFit="1" customWidth="1"/>
    <col min="2313" max="2313" width="11.6640625" style="28" bestFit="1" customWidth="1"/>
    <col min="2314" max="2317" width="11.1640625" style="28" customWidth="1"/>
    <col min="2318" max="2318" width="11.6640625" style="28" customWidth="1"/>
    <col min="2319" max="2319" width="12.5" style="28" customWidth="1"/>
    <col min="2320" max="2560" width="9.6640625" style="28"/>
    <col min="2561" max="2561" width="14" style="28" bestFit="1" customWidth="1"/>
    <col min="2562" max="2562" width="7.6640625" style="28" customWidth="1"/>
    <col min="2563" max="2563" width="11.1640625" style="28" customWidth="1"/>
    <col min="2564" max="2564" width="12.1640625" style="28" customWidth="1"/>
    <col min="2565" max="2567" width="11.6640625" style="28" customWidth="1"/>
    <col min="2568" max="2568" width="10.83203125" style="28" bestFit="1" customWidth="1"/>
    <col min="2569" max="2569" width="11.6640625" style="28" bestFit="1" customWidth="1"/>
    <col min="2570" max="2573" width="11.1640625" style="28" customWidth="1"/>
    <col min="2574" max="2574" width="11.6640625" style="28" customWidth="1"/>
    <col min="2575" max="2575" width="12.5" style="28" customWidth="1"/>
    <col min="2576" max="2816" width="9.6640625" style="28"/>
    <col min="2817" max="2817" width="14" style="28" bestFit="1" customWidth="1"/>
    <col min="2818" max="2818" width="7.6640625" style="28" customWidth="1"/>
    <col min="2819" max="2819" width="11.1640625" style="28" customWidth="1"/>
    <col min="2820" max="2820" width="12.1640625" style="28" customWidth="1"/>
    <col min="2821" max="2823" width="11.6640625" style="28" customWidth="1"/>
    <col min="2824" max="2824" width="10.83203125" style="28" bestFit="1" customWidth="1"/>
    <col min="2825" max="2825" width="11.6640625" style="28" bestFit="1" customWidth="1"/>
    <col min="2826" max="2829" width="11.1640625" style="28" customWidth="1"/>
    <col min="2830" max="2830" width="11.6640625" style="28" customWidth="1"/>
    <col min="2831" max="2831" width="12.5" style="28" customWidth="1"/>
    <col min="2832" max="3072" width="9.6640625" style="28"/>
    <col min="3073" max="3073" width="14" style="28" bestFit="1" customWidth="1"/>
    <col min="3074" max="3074" width="7.6640625" style="28" customWidth="1"/>
    <col min="3075" max="3075" width="11.1640625" style="28" customWidth="1"/>
    <col min="3076" max="3076" width="12.1640625" style="28" customWidth="1"/>
    <col min="3077" max="3079" width="11.6640625" style="28" customWidth="1"/>
    <col min="3080" max="3080" width="10.83203125" style="28" bestFit="1" customWidth="1"/>
    <col min="3081" max="3081" width="11.6640625" style="28" bestFit="1" customWidth="1"/>
    <col min="3082" max="3085" width="11.1640625" style="28" customWidth="1"/>
    <col min="3086" max="3086" width="11.6640625" style="28" customWidth="1"/>
    <col min="3087" max="3087" width="12.5" style="28" customWidth="1"/>
    <col min="3088" max="3328" width="9.6640625" style="28"/>
    <col min="3329" max="3329" width="14" style="28" bestFit="1" customWidth="1"/>
    <col min="3330" max="3330" width="7.6640625" style="28" customWidth="1"/>
    <col min="3331" max="3331" width="11.1640625" style="28" customWidth="1"/>
    <col min="3332" max="3332" width="12.1640625" style="28" customWidth="1"/>
    <col min="3333" max="3335" width="11.6640625" style="28" customWidth="1"/>
    <col min="3336" max="3336" width="10.83203125" style="28" bestFit="1" customWidth="1"/>
    <col min="3337" max="3337" width="11.6640625" style="28" bestFit="1" customWidth="1"/>
    <col min="3338" max="3341" width="11.1640625" style="28" customWidth="1"/>
    <col min="3342" max="3342" width="11.6640625" style="28" customWidth="1"/>
    <col min="3343" max="3343" width="12.5" style="28" customWidth="1"/>
    <col min="3344" max="3584" width="9.6640625" style="28"/>
    <col min="3585" max="3585" width="14" style="28" bestFit="1" customWidth="1"/>
    <col min="3586" max="3586" width="7.6640625" style="28" customWidth="1"/>
    <col min="3587" max="3587" width="11.1640625" style="28" customWidth="1"/>
    <col min="3588" max="3588" width="12.1640625" style="28" customWidth="1"/>
    <col min="3589" max="3591" width="11.6640625" style="28" customWidth="1"/>
    <col min="3592" max="3592" width="10.83203125" style="28" bestFit="1" customWidth="1"/>
    <col min="3593" max="3593" width="11.6640625" style="28" bestFit="1" customWidth="1"/>
    <col min="3594" max="3597" width="11.1640625" style="28" customWidth="1"/>
    <col min="3598" max="3598" width="11.6640625" style="28" customWidth="1"/>
    <col min="3599" max="3599" width="12.5" style="28" customWidth="1"/>
    <col min="3600" max="3840" width="9.6640625" style="28"/>
    <col min="3841" max="3841" width="14" style="28" bestFit="1" customWidth="1"/>
    <col min="3842" max="3842" width="7.6640625" style="28" customWidth="1"/>
    <col min="3843" max="3843" width="11.1640625" style="28" customWidth="1"/>
    <col min="3844" max="3844" width="12.1640625" style="28" customWidth="1"/>
    <col min="3845" max="3847" width="11.6640625" style="28" customWidth="1"/>
    <col min="3848" max="3848" width="10.83203125" style="28" bestFit="1" customWidth="1"/>
    <col min="3849" max="3849" width="11.6640625" style="28" bestFit="1" customWidth="1"/>
    <col min="3850" max="3853" width="11.1640625" style="28" customWidth="1"/>
    <col min="3854" max="3854" width="11.6640625" style="28" customWidth="1"/>
    <col min="3855" max="3855" width="12.5" style="28" customWidth="1"/>
    <col min="3856" max="4096" width="9.6640625" style="28"/>
    <col min="4097" max="4097" width="14" style="28" bestFit="1" customWidth="1"/>
    <col min="4098" max="4098" width="7.6640625" style="28" customWidth="1"/>
    <col min="4099" max="4099" width="11.1640625" style="28" customWidth="1"/>
    <col min="4100" max="4100" width="12.1640625" style="28" customWidth="1"/>
    <col min="4101" max="4103" width="11.6640625" style="28" customWidth="1"/>
    <col min="4104" max="4104" width="10.83203125" style="28" bestFit="1" customWidth="1"/>
    <col min="4105" max="4105" width="11.6640625" style="28" bestFit="1" customWidth="1"/>
    <col min="4106" max="4109" width="11.1640625" style="28" customWidth="1"/>
    <col min="4110" max="4110" width="11.6640625" style="28" customWidth="1"/>
    <col min="4111" max="4111" width="12.5" style="28" customWidth="1"/>
    <col min="4112" max="4352" width="9.6640625" style="28"/>
    <col min="4353" max="4353" width="14" style="28" bestFit="1" customWidth="1"/>
    <col min="4354" max="4354" width="7.6640625" style="28" customWidth="1"/>
    <col min="4355" max="4355" width="11.1640625" style="28" customWidth="1"/>
    <col min="4356" max="4356" width="12.1640625" style="28" customWidth="1"/>
    <col min="4357" max="4359" width="11.6640625" style="28" customWidth="1"/>
    <col min="4360" max="4360" width="10.83203125" style="28" bestFit="1" customWidth="1"/>
    <col min="4361" max="4361" width="11.6640625" style="28" bestFit="1" customWidth="1"/>
    <col min="4362" max="4365" width="11.1640625" style="28" customWidth="1"/>
    <col min="4366" max="4366" width="11.6640625" style="28" customWidth="1"/>
    <col min="4367" max="4367" width="12.5" style="28" customWidth="1"/>
    <col min="4368" max="4608" width="9.6640625" style="28"/>
    <col min="4609" max="4609" width="14" style="28" bestFit="1" customWidth="1"/>
    <col min="4610" max="4610" width="7.6640625" style="28" customWidth="1"/>
    <col min="4611" max="4611" width="11.1640625" style="28" customWidth="1"/>
    <col min="4612" max="4612" width="12.1640625" style="28" customWidth="1"/>
    <col min="4613" max="4615" width="11.6640625" style="28" customWidth="1"/>
    <col min="4616" max="4616" width="10.83203125" style="28" bestFit="1" customWidth="1"/>
    <col min="4617" max="4617" width="11.6640625" style="28" bestFit="1" customWidth="1"/>
    <col min="4618" max="4621" width="11.1640625" style="28" customWidth="1"/>
    <col min="4622" max="4622" width="11.6640625" style="28" customWidth="1"/>
    <col min="4623" max="4623" width="12.5" style="28" customWidth="1"/>
    <col min="4624" max="4864" width="9.6640625" style="28"/>
    <col min="4865" max="4865" width="14" style="28" bestFit="1" customWidth="1"/>
    <col min="4866" max="4866" width="7.6640625" style="28" customWidth="1"/>
    <col min="4867" max="4867" width="11.1640625" style="28" customWidth="1"/>
    <col min="4868" max="4868" width="12.1640625" style="28" customWidth="1"/>
    <col min="4869" max="4871" width="11.6640625" style="28" customWidth="1"/>
    <col min="4872" max="4872" width="10.83203125" style="28" bestFit="1" customWidth="1"/>
    <col min="4873" max="4873" width="11.6640625" style="28" bestFit="1" customWidth="1"/>
    <col min="4874" max="4877" width="11.1640625" style="28" customWidth="1"/>
    <col min="4878" max="4878" width="11.6640625" style="28" customWidth="1"/>
    <col min="4879" max="4879" width="12.5" style="28" customWidth="1"/>
    <col min="4880" max="5120" width="9.6640625" style="28"/>
    <col min="5121" max="5121" width="14" style="28" bestFit="1" customWidth="1"/>
    <col min="5122" max="5122" width="7.6640625" style="28" customWidth="1"/>
    <col min="5123" max="5123" width="11.1640625" style="28" customWidth="1"/>
    <col min="5124" max="5124" width="12.1640625" style="28" customWidth="1"/>
    <col min="5125" max="5127" width="11.6640625" style="28" customWidth="1"/>
    <col min="5128" max="5128" width="10.83203125" style="28" bestFit="1" customWidth="1"/>
    <col min="5129" max="5129" width="11.6640625" style="28" bestFit="1" customWidth="1"/>
    <col min="5130" max="5133" width="11.1640625" style="28" customWidth="1"/>
    <col min="5134" max="5134" width="11.6640625" style="28" customWidth="1"/>
    <col min="5135" max="5135" width="12.5" style="28" customWidth="1"/>
    <col min="5136" max="5376" width="9.6640625" style="28"/>
    <col min="5377" max="5377" width="14" style="28" bestFit="1" customWidth="1"/>
    <col min="5378" max="5378" width="7.6640625" style="28" customWidth="1"/>
    <col min="5379" max="5379" width="11.1640625" style="28" customWidth="1"/>
    <col min="5380" max="5380" width="12.1640625" style="28" customWidth="1"/>
    <col min="5381" max="5383" width="11.6640625" style="28" customWidth="1"/>
    <col min="5384" max="5384" width="10.83203125" style="28" bestFit="1" customWidth="1"/>
    <col min="5385" max="5385" width="11.6640625" style="28" bestFit="1" customWidth="1"/>
    <col min="5386" max="5389" width="11.1640625" style="28" customWidth="1"/>
    <col min="5390" max="5390" width="11.6640625" style="28" customWidth="1"/>
    <col min="5391" max="5391" width="12.5" style="28" customWidth="1"/>
    <col min="5392" max="5632" width="9.6640625" style="28"/>
    <col min="5633" max="5633" width="14" style="28" bestFit="1" customWidth="1"/>
    <col min="5634" max="5634" width="7.6640625" style="28" customWidth="1"/>
    <col min="5635" max="5635" width="11.1640625" style="28" customWidth="1"/>
    <col min="5636" max="5636" width="12.1640625" style="28" customWidth="1"/>
    <col min="5637" max="5639" width="11.6640625" style="28" customWidth="1"/>
    <col min="5640" max="5640" width="10.83203125" style="28" bestFit="1" customWidth="1"/>
    <col min="5641" max="5641" width="11.6640625" style="28" bestFit="1" customWidth="1"/>
    <col min="5642" max="5645" width="11.1640625" style="28" customWidth="1"/>
    <col min="5646" max="5646" width="11.6640625" style="28" customWidth="1"/>
    <col min="5647" max="5647" width="12.5" style="28" customWidth="1"/>
    <col min="5648" max="5888" width="9.6640625" style="28"/>
    <col min="5889" max="5889" width="14" style="28" bestFit="1" customWidth="1"/>
    <col min="5890" max="5890" width="7.6640625" style="28" customWidth="1"/>
    <col min="5891" max="5891" width="11.1640625" style="28" customWidth="1"/>
    <col min="5892" max="5892" width="12.1640625" style="28" customWidth="1"/>
    <col min="5893" max="5895" width="11.6640625" style="28" customWidth="1"/>
    <col min="5896" max="5896" width="10.83203125" style="28" bestFit="1" customWidth="1"/>
    <col min="5897" max="5897" width="11.6640625" style="28" bestFit="1" customWidth="1"/>
    <col min="5898" max="5901" width="11.1640625" style="28" customWidth="1"/>
    <col min="5902" max="5902" width="11.6640625" style="28" customWidth="1"/>
    <col min="5903" max="5903" width="12.5" style="28" customWidth="1"/>
    <col min="5904" max="6144" width="9.6640625" style="28"/>
    <col min="6145" max="6145" width="14" style="28" bestFit="1" customWidth="1"/>
    <col min="6146" max="6146" width="7.6640625" style="28" customWidth="1"/>
    <col min="6147" max="6147" width="11.1640625" style="28" customWidth="1"/>
    <col min="6148" max="6148" width="12.1640625" style="28" customWidth="1"/>
    <col min="6149" max="6151" width="11.6640625" style="28" customWidth="1"/>
    <col min="6152" max="6152" width="10.83203125" style="28" bestFit="1" customWidth="1"/>
    <col min="6153" max="6153" width="11.6640625" style="28" bestFit="1" customWidth="1"/>
    <col min="6154" max="6157" width="11.1640625" style="28" customWidth="1"/>
    <col min="6158" max="6158" width="11.6640625" style="28" customWidth="1"/>
    <col min="6159" max="6159" width="12.5" style="28" customWidth="1"/>
    <col min="6160" max="6400" width="9.6640625" style="28"/>
    <col min="6401" max="6401" width="14" style="28" bestFit="1" customWidth="1"/>
    <col min="6402" max="6402" width="7.6640625" style="28" customWidth="1"/>
    <col min="6403" max="6403" width="11.1640625" style="28" customWidth="1"/>
    <col min="6404" max="6404" width="12.1640625" style="28" customWidth="1"/>
    <col min="6405" max="6407" width="11.6640625" style="28" customWidth="1"/>
    <col min="6408" max="6408" width="10.83203125" style="28" bestFit="1" customWidth="1"/>
    <col min="6409" max="6409" width="11.6640625" style="28" bestFit="1" customWidth="1"/>
    <col min="6410" max="6413" width="11.1640625" style="28" customWidth="1"/>
    <col min="6414" max="6414" width="11.6640625" style="28" customWidth="1"/>
    <col min="6415" max="6415" width="12.5" style="28" customWidth="1"/>
    <col min="6416" max="6656" width="9.6640625" style="28"/>
    <col min="6657" max="6657" width="14" style="28" bestFit="1" customWidth="1"/>
    <col min="6658" max="6658" width="7.6640625" style="28" customWidth="1"/>
    <col min="6659" max="6659" width="11.1640625" style="28" customWidth="1"/>
    <col min="6660" max="6660" width="12.1640625" style="28" customWidth="1"/>
    <col min="6661" max="6663" width="11.6640625" style="28" customWidth="1"/>
    <col min="6664" max="6664" width="10.83203125" style="28" bestFit="1" customWidth="1"/>
    <col min="6665" max="6665" width="11.6640625" style="28" bestFit="1" customWidth="1"/>
    <col min="6666" max="6669" width="11.1640625" style="28" customWidth="1"/>
    <col min="6670" max="6670" width="11.6640625" style="28" customWidth="1"/>
    <col min="6671" max="6671" width="12.5" style="28" customWidth="1"/>
    <col min="6672" max="6912" width="9.6640625" style="28"/>
    <col min="6913" max="6913" width="14" style="28" bestFit="1" customWidth="1"/>
    <col min="6914" max="6914" width="7.6640625" style="28" customWidth="1"/>
    <col min="6915" max="6915" width="11.1640625" style="28" customWidth="1"/>
    <col min="6916" max="6916" width="12.1640625" style="28" customWidth="1"/>
    <col min="6917" max="6919" width="11.6640625" style="28" customWidth="1"/>
    <col min="6920" max="6920" width="10.83203125" style="28" bestFit="1" customWidth="1"/>
    <col min="6921" max="6921" width="11.6640625" style="28" bestFit="1" customWidth="1"/>
    <col min="6922" max="6925" width="11.1640625" style="28" customWidth="1"/>
    <col min="6926" max="6926" width="11.6640625" style="28" customWidth="1"/>
    <col min="6927" max="6927" width="12.5" style="28" customWidth="1"/>
    <col min="6928" max="7168" width="9.6640625" style="28"/>
    <col min="7169" max="7169" width="14" style="28" bestFit="1" customWidth="1"/>
    <col min="7170" max="7170" width="7.6640625" style="28" customWidth="1"/>
    <col min="7171" max="7171" width="11.1640625" style="28" customWidth="1"/>
    <col min="7172" max="7172" width="12.1640625" style="28" customWidth="1"/>
    <col min="7173" max="7175" width="11.6640625" style="28" customWidth="1"/>
    <col min="7176" max="7176" width="10.83203125" style="28" bestFit="1" customWidth="1"/>
    <col min="7177" max="7177" width="11.6640625" style="28" bestFit="1" customWidth="1"/>
    <col min="7178" max="7181" width="11.1640625" style="28" customWidth="1"/>
    <col min="7182" max="7182" width="11.6640625" style="28" customWidth="1"/>
    <col min="7183" max="7183" width="12.5" style="28" customWidth="1"/>
    <col min="7184" max="7424" width="9.6640625" style="28"/>
    <col min="7425" max="7425" width="14" style="28" bestFit="1" customWidth="1"/>
    <col min="7426" max="7426" width="7.6640625" style="28" customWidth="1"/>
    <col min="7427" max="7427" width="11.1640625" style="28" customWidth="1"/>
    <col min="7428" max="7428" width="12.1640625" style="28" customWidth="1"/>
    <col min="7429" max="7431" width="11.6640625" style="28" customWidth="1"/>
    <col min="7432" max="7432" width="10.83203125" style="28" bestFit="1" customWidth="1"/>
    <col min="7433" max="7433" width="11.6640625" style="28" bestFit="1" customWidth="1"/>
    <col min="7434" max="7437" width="11.1640625" style="28" customWidth="1"/>
    <col min="7438" max="7438" width="11.6640625" style="28" customWidth="1"/>
    <col min="7439" max="7439" width="12.5" style="28" customWidth="1"/>
    <col min="7440" max="7680" width="9.6640625" style="28"/>
    <col min="7681" max="7681" width="14" style="28" bestFit="1" customWidth="1"/>
    <col min="7682" max="7682" width="7.6640625" style="28" customWidth="1"/>
    <col min="7683" max="7683" width="11.1640625" style="28" customWidth="1"/>
    <col min="7684" max="7684" width="12.1640625" style="28" customWidth="1"/>
    <col min="7685" max="7687" width="11.6640625" style="28" customWidth="1"/>
    <col min="7688" max="7688" width="10.83203125" style="28" bestFit="1" customWidth="1"/>
    <col min="7689" max="7689" width="11.6640625" style="28" bestFit="1" customWidth="1"/>
    <col min="7690" max="7693" width="11.1640625" style="28" customWidth="1"/>
    <col min="7694" max="7694" width="11.6640625" style="28" customWidth="1"/>
    <col min="7695" max="7695" width="12.5" style="28" customWidth="1"/>
    <col min="7696" max="7936" width="9.6640625" style="28"/>
    <col min="7937" max="7937" width="14" style="28" bestFit="1" customWidth="1"/>
    <col min="7938" max="7938" width="7.6640625" style="28" customWidth="1"/>
    <col min="7939" max="7939" width="11.1640625" style="28" customWidth="1"/>
    <col min="7940" max="7940" width="12.1640625" style="28" customWidth="1"/>
    <col min="7941" max="7943" width="11.6640625" style="28" customWidth="1"/>
    <col min="7944" max="7944" width="10.83203125" style="28" bestFit="1" customWidth="1"/>
    <col min="7945" max="7945" width="11.6640625" style="28" bestFit="1" customWidth="1"/>
    <col min="7946" max="7949" width="11.1640625" style="28" customWidth="1"/>
    <col min="7950" max="7950" width="11.6640625" style="28" customWidth="1"/>
    <col min="7951" max="7951" width="12.5" style="28" customWidth="1"/>
    <col min="7952" max="8192" width="9.6640625" style="28"/>
    <col min="8193" max="8193" width="14" style="28" bestFit="1" customWidth="1"/>
    <col min="8194" max="8194" width="7.6640625" style="28" customWidth="1"/>
    <col min="8195" max="8195" width="11.1640625" style="28" customWidth="1"/>
    <col min="8196" max="8196" width="12.1640625" style="28" customWidth="1"/>
    <col min="8197" max="8199" width="11.6640625" style="28" customWidth="1"/>
    <col min="8200" max="8200" width="10.83203125" style="28" bestFit="1" customWidth="1"/>
    <col min="8201" max="8201" width="11.6640625" style="28" bestFit="1" customWidth="1"/>
    <col min="8202" max="8205" width="11.1640625" style="28" customWidth="1"/>
    <col min="8206" max="8206" width="11.6640625" style="28" customWidth="1"/>
    <col min="8207" max="8207" width="12.5" style="28" customWidth="1"/>
    <col min="8208" max="8448" width="9.6640625" style="28"/>
    <col min="8449" max="8449" width="14" style="28" bestFit="1" customWidth="1"/>
    <col min="8450" max="8450" width="7.6640625" style="28" customWidth="1"/>
    <col min="8451" max="8451" width="11.1640625" style="28" customWidth="1"/>
    <col min="8452" max="8452" width="12.1640625" style="28" customWidth="1"/>
    <col min="8453" max="8455" width="11.6640625" style="28" customWidth="1"/>
    <col min="8456" max="8456" width="10.83203125" style="28" bestFit="1" customWidth="1"/>
    <col min="8457" max="8457" width="11.6640625" style="28" bestFit="1" customWidth="1"/>
    <col min="8458" max="8461" width="11.1640625" style="28" customWidth="1"/>
    <col min="8462" max="8462" width="11.6640625" style="28" customWidth="1"/>
    <col min="8463" max="8463" width="12.5" style="28" customWidth="1"/>
    <col min="8464" max="8704" width="9.6640625" style="28"/>
    <col min="8705" max="8705" width="14" style="28" bestFit="1" customWidth="1"/>
    <col min="8706" max="8706" width="7.6640625" style="28" customWidth="1"/>
    <col min="8707" max="8707" width="11.1640625" style="28" customWidth="1"/>
    <col min="8708" max="8708" width="12.1640625" style="28" customWidth="1"/>
    <col min="8709" max="8711" width="11.6640625" style="28" customWidth="1"/>
    <col min="8712" max="8712" width="10.83203125" style="28" bestFit="1" customWidth="1"/>
    <col min="8713" max="8713" width="11.6640625" style="28" bestFit="1" customWidth="1"/>
    <col min="8714" max="8717" width="11.1640625" style="28" customWidth="1"/>
    <col min="8718" max="8718" width="11.6640625" style="28" customWidth="1"/>
    <col min="8719" max="8719" width="12.5" style="28" customWidth="1"/>
    <col min="8720" max="8960" width="9.6640625" style="28"/>
    <col min="8961" max="8961" width="14" style="28" bestFit="1" customWidth="1"/>
    <col min="8962" max="8962" width="7.6640625" style="28" customWidth="1"/>
    <col min="8963" max="8963" width="11.1640625" style="28" customWidth="1"/>
    <col min="8964" max="8964" width="12.1640625" style="28" customWidth="1"/>
    <col min="8965" max="8967" width="11.6640625" style="28" customWidth="1"/>
    <col min="8968" max="8968" width="10.83203125" style="28" bestFit="1" customWidth="1"/>
    <col min="8969" max="8969" width="11.6640625" style="28" bestFit="1" customWidth="1"/>
    <col min="8970" max="8973" width="11.1640625" style="28" customWidth="1"/>
    <col min="8974" max="8974" width="11.6640625" style="28" customWidth="1"/>
    <col min="8975" max="8975" width="12.5" style="28" customWidth="1"/>
    <col min="8976" max="9216" width="9.6640625" style="28"/>
    <col min="9217" max="9217" width="14" style="28" bestFit="1" customWidth="1"/>
    <col min="9218" max="9218" width="7.6640625" style="28" customWidth="1"/>
    <col min="9219" max="9219" width="11.1640625" style="28" customWidth="1"/>
    <col min="9220" max="9220" width="12.1640625" style="28" customWidth="1"/>
    <col min="9221" max="9223" width="11.6640625" style="28" customWidth="1"/>
    <col min="9224" max="9224" width="10.83203125" style="28" bestFit="1" customWidth="1"/>
    <col min="9225" max="9225" width="11.6640625" style="28" bestFit="1" customWidth="1"/>
    <col min="9226" max="9229" width="11.1640625" style="28" customWidth="1"/>
    <col min="9230" max="9230" width="11.6640625" style="28" customWidth="1"/>
    <col min="9231" max="9231" width="12.5" style="28" customWidth="1"/>
    <col min="9232" max="9472" width="9.6640625" style="28"/>
    <col min="9473" max="9473" width="14" style="28" bestFit="1" customWidth="1"/>
    <col min="9474" max="9474" width="7.6640625" style="28" customWidth="1"/>
    <col min="9475" max="9475" width="11.1640625" style="28" customWidth="1"/>
    <col min="9476" max="9476" width="12.1640625" style="28" customWidth="1"/>
    <col min="9477" max="9479" width="11.6640625" style="28" customWidth="1"/>
    <col min="9480" max="9480" width="10.83203125" style="28" bestFit="1" customWidth="1"/>
    <col min="9481" max="9481" width="11.6640625" style="28" bestFit="1" customWidth="1"/>
    <col min="9482" max="9485" width="11.1640625" style="28" customWidth="1"/>
    <col min="9486" max="9486" width="11.6640625" style="28" customWidth="1"/>
    <col min="9487" max="9487" width="12.5" style="28" customWidth="1"/>
    <col min="9488" max="9728" width="9.6640625" style="28"/>
    <col min="9729" max="9729" width="14" style="28" bestFit="1" customWidth="1"/>
    <col min="9730" max="9730" width="7.6640625" style="28" customWidth="1"/>
    <col min="9731" max="9731" width="11.1640625" style="28" customWidth="1"/>
    <col min="9732" max="9732" width="12.1640625" style="28" customWidth="1"/>
    <col min="9733" max="9735" width="11.6640625" style="28" customWidth="1"/>
    <col min="9736" max="9736" width="10.83203125" style="28" bestFit="1" customWidth="1"/>
    <col min="9737" max="9737" width="11.6640625" style="28" bestFit="1" customWidth="1"/>
    <col min="9738" max="9741" width="11.1640625" style="28" customWidth="1"/>
    <col min="9742" max="9742" width="11.6640625" style="28" customWidth="1"/>
    <col min="9743" max="9743" width="12.5" style="28" customWidth="1"/>
    <col min="9744" max="9984" width="9.6640625" style="28"/>
    <col min="9985" max="9985" width="14" style="28" bestFit="1" customWidth="1"/>
    <col min="9986" max="9986" width="7.6640625" style="28" customWidth="1"/>
    <col min="9987" max="9987" width="11.1640625" style="28" customWidth="1"/>
    <col min="9988" max="9988" width="12.1640625" style="28" customWidth="1"/>
    <col min="9989" max="9991" width="11.6640625" style="28" customWidth="1"/>
    <col min="9992" max="9992" width="10.83203125" style="28" bestFit="1" customWidth="1"/>
    <col min="9993" max="9993" width="11.6640625" style="28" bestFit="1" customWidth="1"/>
    <col min="9994" max="9997" width="11.1640625" style="28" customWidth="1"/>
    <col min="9998" max="9998" width="11.6640625" style="28" customWidth="1"/>
    <col min="9999" max="9999" width="12.5" style="28" customWidth="1"/>
    <col min="10000" max="10240" width="9.6640625" style="28"/>
    <col min="10241" max="10241" width="14" style="28" bestFit="1" customWidth="1"/>
    <col min="10242" max="10242" width="7.6640625" style="28" customWidth="1"/>
    <col min="10243" max="10243" width="11.1640625" style="28" customWidth="1"/>
    <col min="10244" max="10244" width="12.1640625" style="28" customWidth="1"/>
    <col min="10245" max="10247" width="11.6640625" style="28" customWidth="1"/>
    <col min="10248" max="10248" width="10.83203125" style="28" bestFit="1" customWidth="1"/>
    <col min="10249" max="10249" width="11.6640625" style="28" bestFit="1" customWidth="1"/>
    <col min="10250" max="10253" width="11.1640625" style="28" customWidth="1"/>
    <col min="10254" max="10254" width="11.6640625" style="28" customWidth="1"/>
    <col min="10255" max="10255" width="12.5" style="28" customWidth="1"/>
    <col min="10256" max="10496" width="9.6640625" style="28"/>
    <col min="10497" max="10497" width="14" style="28" bestFit="1" customWidth="1"/>
    <col min="10498" max="10498" width="7.6640625" style="28" customWidth="1"/>
    <col min="10499" max="10499" width="11.1640625" style="28" customWidth="1"/>
    <col min="10500" max="10500" width="12.1640625" style="28" customWidth="1"/>
    <col min="10501" max="10503" width="11.6640625" style="28" customWidth="1"/>
    <col min="10504" max="10504" width="10.83203125" style="28" bestFit="1" customWidth="1"/>
    <col min="10505" max="10505" width="11.6640625" style="28" bestFit="1" customWidth="1"/>
    <col min="10506" max="10509" width="11.1640625" style="28" customWidth="1"/>
    <col min="10510" max="10510" width="11.6640625" style="28" customWidth="1"/>
    <col min="10511" max="10511" width="12.5" style="28" customWidth="1"/>
    <col min="10512" max="10752" width="9.6640625" style="28"/>
    <col min="10753" max="10753" width="14" style="28" bestFit="1" customWidth="1"/>
    <col min="10754" max="10754" width="7.6640625" style="28" customWidth="1"/>
    <col min="10755" max="10755" width="11.1640625" style="28" customWidth="1"/>
    <col min="10756" max="10756" width="12.1640625" style="28" customWidth="1"/>
    <col min="10757" max="10759" width="11.6640625" style="28" customWidth="1"/>
    <col min="10760" max="10760" width="10.83203125" style="28" bestFit="1" customWidth="1"/>
    <col min="10761" max="10761" width="11.6640625" style="28" bestFit="1" customWidth="1"/>
    <col min="10762" max="10765" width="11.1640625" style="28" customWidth="1"/>
    <col min="10766" max="10766" width="11.6640625" style="28" customWidth="1"/>
    <col min="10767" max="10767" width="12.5" style="28" customWidth="1"/>
    <col min="10768" max="11008" width="9.6640625" style="28"/>
    <col min="11009" max="11009" width="14" style="28" bestFit="1" customWidth="1"/>
    <col min="11010" max="11010" width="7.6640625" style="28" customWidth="1"/>
    <col min="11011" max="11011" width="11.1640625" style="28" customWidth="1"/>
    <col min="11012" max="11012" width="12.1640625" style="28" customWidth="1"/>
    <col min="11013" max="11015" width="11.6640625" style="28" customWidth="1"/>
    <col min="11016" max="11016" width="10.83203125" style="28" bestFit="1" customWidth="1"/>
    <col min="11017" max="11017" width="11.6640625" style="28" bestFit="1" customWidth="1"/>
    <col min="11018" max="11021" width="11.1640625" style="28" customWidth="1"/>
    <col min="11022" max="11022" width="11.6640625" style="28" customWidth="1"/>
    <col min="11023" max="11023" width="12.5" style="28" customWidth="1"/>
    <col min="11024" max="11264" width="9.6640625" style="28"/>
    <col min="11265" max="11265" width="14" style="28" bestFit="1" customWidth="1"/>
    <col min="11266" max="11266" width="7.6640625" style="28" customWidth="1"/>
    <col min="11267" max="11267" width="11.1640625" style="28" customWidth="1"/>
    <col min="11268" max="11268" width="12.1640625" style="28" customWidth="1"/>
    <col min="11269" max="11271" width="11.6640625" style="28" customWidth="1"/>
    <col min="11272" max="11272" width="10.83203125" style="28" bestFit="1" customWidth="1"/>
    <col min="11273" max="11273" width="11.6640625" style="28" bestFit="1" customWidth="1"/>
    <col min="11274" max="11277" width="11.1640625" style="28" customWidth="1"/>
    <col min="11278" max="11278" width="11.6640625" style="28" customWidth="1"/>
    <col min="11279" max="11279" width="12.5" style="28" customWidth="1"/>
    <col min="11280" max="11520" width="9.6640625" style="28"/>
    <col min="11521" max="11521" width="14" style="28" bestFit="1" customWidth="1"/>
    <col min="11522" max="11522" width="7.6640625" style="28" customWidth="1"/>
    <col min="11523" max="11523" width="11.1640625" style="28" customWidth="1"/>
    <col min="11524" max="11524" width="12.1640625" style="28" customWidth="1"/>
    <col min="11525" max="11527" width="11.6640625" style="28" customWidth="1"/>
    <col min="11528" max="11528" width="10.83203125" style="28" bestFit="1" customWidth="1"/>
    <col min="11529" max="11529" width="11.6640625" style="28" bestFit="1" customWidth="1"/>
    <col min="11530" max="11533" width="11.1640625" style="28" customWidth="1"/>
    <col min="11534" max="11534" width="11.6640625" style="28" customWidth="1"/>
    <col min="11535" max="11535" width="12.5" style="28" customWidth="1"/>
    <col min="11536" max="11776" width="9.6640625" style="28"/>
    <col min="11777" max="11777" width="14" style="28" bestFit="1" customWidth="1"/>
    <col min="11778" max="11778" width="7.6640625" style="28" customWidth="1"/>
    <col min="11779" max="11779" width="11.1640625" style="28" customWidth="1"/>
    <col min="11780" max="11780" width="12.1640625" style="28" customWidth="1"/>
    <col min="11781" max="11783" width="11.6640625" style="28" customWidth="1"/>
    <col min="11784" max="11784" width="10.83203125" style="28" bestFit="1" customWidth="1"/>
    <col min="11785" max="11785" width="11.6640625" style="28" bestFit="1" customWidth="1"/>
    <col min="11786" max="11789" width="11.1640625" style="28" customWidth="1"/>
    <col min="11790" max="11790" width="11.6640625" style="28" customWidth="1"/>
    <col min="11791" max="11791" width="12.5" style="28" customWidth="1"/>
    <col min="11792" max="12032" width="9.6640625" style="28"/>
    <col min="12033" max="12033" width="14" style="28" bestFit="1" customWidth="1"/>
    <col min="12034" max="12034" width="7.6640625" style="28" customWidth="1"/>
    <col min="12035" max="12035" width="11.1640625" style="28" customWidth="1"/>
    <col min="12036" max="12036" width="12.1640625" style="28" customWidth="1"/>
    <col min="12037" max="12039" width="11.6640625" style="28" customWidth="1"/>
    <col min="12040" max="12040" width="10.83203125" style="28" bestFit="1" customWidth="1"/>
    <col min="12041" max="12041" width="11.6640625" style="28" bestFit="1" customWidth="1"/>
    <col min="12042" max="12045" width="11.1640625" style="28" customWidth="1"/>
    <col min="12046" max="12046" width="11.6640625" style="28" customWidth="1"/>
    <col min="12047" max="12047" width="12.5" style="28" customWidth="1"/>
    <col min="12048" max="12288" width="9.6640625" style="28"/>
    <col min="12289" max="12289" width="14" style="28" bestFit="1" customWidth="1"/>
    <col min="12290" max="12290" width="7.6640625" style="28" customWidth="1"/>
    <col min="12291" max="12291" width="11.1640625" style="28" customWidth="1"/>
    <col min="12292" max="12292" width="12.1640625" style="28" customWidth="1"/>
    <col min="12293" max="12295" width="11.6640625" style="28" customWidth="1"/>
    <col min="12296" max="12296" width="10.83203125" style="28" bestFit="1" customWidth="1"/>
    <col min="12297" max="12297" width="11.6640625" style="28" bestFit="1" customWidth="1"/>
    <col min="12298" max="12301" width="11.1640625" style="28" customWidth="1"/>
    <col min="12302" max="12302" width="11.6640625" style="28" customWidth="1"/>
    <col min="12303" max="12303" width="12.5" style="28" customWidth="1"/>
    <col min="12304" max="12544" width="9.6640625" style="28"/>
    <col min="12545" max="12545" width="14" style="28" bestFit="1" customWidth="1"/>
    <col min="12546" max="12546" width="7.6640625" style="28" customWidth="1"/>
    <col min="12547" max="12547" width="11.1640625" style="28" customWidth="1"/>
    <col min="12548" max="12548" width="12.1640625" style="28" customWidth="1"/>
    <col min="12549" max="12551" width="11.6640625" style="28" customWidth="1"/>
    <col min="12552" max="12552" width="10.83203125" style="28" bestFit="1" customWidth="1"/>
    <col min="12553" max="12553" width="11.6640625" style="28" bestFit="1" customWidth="1"/>
    <col min="12554" max="12557" width="11.1640625" style="28" customWidth="1"/>
    <col min="12558" max="12558" width="11.6640625" style="28" customWidth="1"/>
    <col min="12559" max="12559" width="12.5" style="28" customWidth="1"/>
    <col min="12560" max="12800" width="9.6640625" style="28"/>
    <col min="12801" max="12801" width="14" style="28" bestFit="1" customWidth="1"/>
    <col min="12802" max="12802" width="7.6640625" style="28" customWidth="1"/>
    <col min="12803" max="12803" width="11.1640625" style="28" customWidth="1"/>
    <col min="12804" max="12804" width="12.1640625" style="28" customWidth="1"/>
    <col min="12805" max="12807" width="11.6640625" style="28" customWidth="1"/>
    <col min="12808" max="12808" width="10.83203125" style="28" bestFit="1" customWidth="1"/>
    <col min="12809" max="12809" width="11.6640625" style="28" bestFit="1" customWidth="1"/>
    <col min="12810" max="12813" width="11.1640625" style="28" customWidth="1"/>
    <col min="12814" max="12814" width="11.6640625" style="28" customWidth="1"/>
    <col min="12815" max="12815" width="12.5" style="28" customWidth="1"/>
    <col min="12816" max="13056" width="9.6640625" style="28"/>
    <col min="13057" max="13057" width="14" style="28" bestFit="1" customWidth="1"/>
    <col min="13058" max="13058" width="7.6640625" style="28" customWidth="1"/>
    <col min="13059" max="13059" width="11.1640625" style="28" customWidth="1"/>
    <col min="13060" max="13060" width="12.1640625" style="28" customWidth="1"/>
    <col min="13061" max="13063" width="11.6640625" style="28" customWidth="1"/>
    <col min="13064" max="13064" width="10.83203125" style="28" bestFit="1" customWidth="1"/>
    <col min="13065" max="13065" width="11.6640625" style="28" bestFit="1" customWidth="1"/>
    <col min="13066" max="13069" width="11.1640625" style="28" customWidth="1"/>
    <col min="13070" max="13070" width="11.6640625" style="28" customWidth="1"/>
    <col min="13071" max="13071" width="12.5" style="28" customWidth="1"/>
    <col min="13072" max="13312" width="9.6640625" style="28"/>
    <col min="13313" max="13313" width="14" style="28" bestFit="1" customWidth="1"/>
    <col min="13314" max="13314" width="7.6640625" style="28" customWidth="1"/>
    <col min="13315" max="13315" width="11.1640625" style="28" customWidth="1"/>
    <col min="13316" max="13316" width="12.1640625" style="28" customWidth="1"/>
    <col min="13317" max="13319" width="11.6640625" style="28" customWidth="1"/>
    <col min="13320" max="13320" width="10.83203125" style="28" bestFit="1" customWidth="1"/>
    <col min="13321" max="13321" width="11.6640625" style="28" bestFit="1" customWidth="1"/>
    <col min="13322" max="13325" width="11.1640625" style="28" customWidth="1"/>
    <col min="13326" max="13326" width="11.6640625" style="28" customWidth="1"/>
    <col min="13327" max="13327" width="12.5" style="28" customWidth="1"/>
    <col min="13328" max="13568" width="9.6640625" style="28"/>
    <col min="13569" max="13569" width="14" style="28" bestFit="1" customWidth="1"/>
    <col min="13570" max="13570" width="7.6640625" style="28" customWidth="1"/>
    <col min="13571" max="13571" width="11.1640625" style="28" customWidth="1"/>
    <col min="13572" max="13572" width="12.1640625" style="28" customWidth="1"/>
    <col min="13573" max="13575" width="11.6640625" style="28" customWidth="1"/>
    <col min="13576" max="13576" width="10.83203125" style="28" bestFit="1" customWidth="1"/>
    <col min="13577" max="13577" width="11.6640625" style="28" bestFit="1" customWidth="1"/>
    <col min="13578" max="13581" width="11.1640625" style="28" customWidth="1"/>
    <col min="13582" max="13582" width="11.6640625" style="28" customWidth="1"/>
    <col min="13583" max="13583" width="12.5" style="28" customWidth="1"/>
    <col min="13584" max="13824" width="9.6640625" style="28"/>
    <col min="13825" max="13825" width="14" style="28" bestFit="1" customWidth="1"/>
    <col min="13826" max="13826" width="7.6640625" style="28" customWidth="1"/>
    <col min="13827" max="13827" width="11.1640625" style="28" customWidth="1"/>
    <col min="13828" max="13828" width="12.1640625" style="28" customWidth="1"/>
    <col min="13829" max="13831" width="11.6640625" style="28" customWidth="1"/>
    <col min="13832" max="13832" width="10.83203125" style="28" bestFit="1" customWidth="1"/>
    <col min="13833" max="13833" width="11.6640625" style="28" bestFit="1" customWidth="1"/>
    <col min="13834" max="13837" width="11.1640625" style="28" customWidth="1"/>
    <col min="13838" max="13838" width="11.6640625" style="28" customWidth="1"/>
    <col min="13839" max="13839" width="12.5" style="28" customWidth="1"/>
    <col min="13840" max="14080" width="9.6640625" style="28"/>
    <col min="14081" max="14081" width="14" style="28" bestFit="1" customWidth="1"/>
    <col min="14082" max="14082" width="7.6640625" style="28" customWidth="1"/>
    <col min="14083" max="14083" width="11.1640625" style="28" customWidth="1"/>
    <col min="14084" max="14084" width="12.1640625" style="28" customWidth="1"/>
    <col min="14085" max="14087" width="11.6640625" style="28" customWidth="1"/>
    <col min="14088" max="14088" width="10.83203125" style="28" bestFit="1" customWidth="1"/>
    <col min="14089" max="14089" width="11.6640625" style="28" bestFit="1" customWidth="1"/>
    <col min="14090" max="14093" width="11.1640625" style="28" customWidth="1"/>
    <col min="14094" max="14094" width="11.6640625" style="28" customWidth="1"/>
    <col min="14095" max="14095" width="12.5" style="28" customWidth="1"/>
    <col min="14096" max="14336" width="9.6640625" style="28"/>
    <col min="14337" max="14337" width="14" style="28" bestFit="1" customWidth="1"/>
    <col min="14338" max="14338" width="7.6640625" style="28" customWidth="1"/>
    <col min="14339" max="14339" width="11.1640625" style="28" customWidth="1"/>
    <col min="14340" max="14340" width="12.1640625" style="28" customWidth="1"/>
    <col min="14341" max="14343" width="11.6640625" style="28" customWidth="1"/>
    <col min="14344" max="14344" width="10.83203125" style="28" bestFit="1" customWidth="1"/>
    <col min="14345" max="14345" width="11.6640625" style="28" bestFit="1" customWidth="1"/>
    <col min="14346" max="14349" width="11.1640625" style="28" customWidth="1"/>
    <col min="14350" max="14350" width="11.6640625" style="28" customWidth="1"/>
    <col min="14351" max="14351" width="12.5" style="28" customWidth="1"/>
    <col min="14352" max="14592" width="9.6640625" style="28"/>
    <col min="14593" max="14593" width="14" style="28" bestFit="1" customWidth="1"/>
    <col min="14594" max="14594" width="7.6640625" style="28" customWidth="1"/>
    <col min="14595" max="14595" width="11.1640625" style="28" customWidth="1"/>
    <col min="14596" max="14596" width="12.1640625" style="28" customWidth="1"/>
    <col min="14597" max="14599" width="11.6640625" style="28" customWidth="1"/>
    <col min="14600" max="14600" width="10.83203125" style="28" bestFit="1" customWidth="1"/>
    <col min="14601" max="14601" width="11.6640625" style="28" bestFit="1" customWidth="1"/>
    <col min="14602" max="14605" width="11.1640625" style="28" customWidth="1"/>
    <col min="14606" max="14606" width="11.6640625" style="28" customWidth="1"/>
    <col min="14607" max="14607" width="12.5" style="28" customWidth="1"/>
    <col min="14608" max="14848" width="9.6640625" style="28"/>
    <col min="14849" max="14849" width="14" style="28" bestFit="1" customWidth="1"/>
    <col min="14850" max="14850" width="7.6640625" style="28" customWidth="1"/>
    <col min="14851" max="14851" width="11.1640625" style="28" customWidth="1"/>
    <col min="14852" max="14852" width="12.1640625" style="28" customWidth="1"/>
    <col min="14853" max="14855" width="11.6640625" style="28" customWidth="1"/>
    <col min="14856" max="14856" width="10.83203125" style="28" bestFit="1" customWidth="1"/>
    <col min="14857" max="14857" width="11.6640625" style="28" bestFit="1" customWidth="1"/>
    <col min="14858" max="14861" width="11.1640625" style="28" customWidth="1"/>
    <col min="14862" max="14862" width="11.6640625" style="28" customWidth="1"/>
    <col min="14863" max="14863" width="12.5" style="28" customWidth="1"/>
    <col min="14864" max="15104" width="9.6640625" style="28"/>
    <col min="15105" max="15105" width="14" style="28" bestFit="1" customWidth="1"/>
    <col min="15106" max="15106" width="7.6640625" style="28" customWidth="1"/>
    <col min="15107" max="15107" width="11.1640625" style="28" customWidth="1"/>
    <col min="15108" max="15108" width="12.1640625" style="28" customWidth="1"/>
    <col min="15109" max="15111" width="11.6640625" style="28" customWidth="1"/>
    <col min="15112" max="15112" width="10.83203125" style="28" bestFit="1" customWidth="1"/>
    <col min="15113" max="15113" width="11.6640625" style="28" bestFit="1" customWidth="1"/>
    <col min="15114" max="15117" width="11.1640625" style="28" customWidth="1"/>
    <col min="15118" max="15118" width="11.6640625" style="28" customWidth="1"/>
    <col min="15119" max="15119" width="12.5" style="28" customWidth="1"/>
    <col min="15120" max="15360" width="9.6640625" style="28"/>
    <col min="15361" max="15361" width="14" style="28" bestFit="1" customWidth="1"/>
    <col min="15362" max="15362" width="7.6640625" style="28" customWidth="1"/>
    <col min="15363" max="15363" width="11.1640625" style="28" customWidth="1"/>
    <col min="15364" max="15364" width="12.1640625" style="28" customWidth="1"/>
    <col min="15365" max="15367" width="11.6640625" style="28" customWidth="1"/>
    <col min="15368" max="15368" width="10.83203125" style="28" bestFit="1" customWidth="1"/>
    <col min="15369" max="15369" width="11.6640625" style="28" bestFit="1" customWidth="1"/>
    <col min="15370" max="15373" width="11.1640625" style="28" customWidth="1"/>
    <col min="15374" max="15374" width="11.6640625" style="28" customWidth="1"/>
    <col min="15375" max="15375" width="12.5" style="28" customWidth="1"/>
    <col min="15376" max="15616" width="9.6640625" style="28"/>
    <col min="15617" max="15617" width="14" style="28" bestFit="1" customWidth="1"/>
    <col min="15618" max="15618" width="7.6640625" style="28" customWidth="1"/>
    <col min="15619" max="15619" width="11.1640625" style="28" customWidth="1"/>
    <col min="15620" max="15620" width="12.1640625" style="28" customWidth="1"/>
    <col min="15621" max="15623" width="11.6640625" style="28" customWidth="1"/>
    <col min="15624" max="15624" width="10.83203125" style="28" bestFit="1" customWidth="1"/>
    <col min="15625" max="15625" width="11.6640625" style="28" bestFit="1" customWidth="1"/>
    <col min="15626" max="15629" width="11.1640625" style="28" customWidth="1"/>
    <col min="15630" max="15630" width="11.6640625" style="28" customWidth="1"/>
    <col min="15631" max="15631" width="12.5" style="28" customWidth="1"/>
    <col min="15632" max="15872" width="9.6640625" style="28"/>
    <col min="15873" max="15873" width="14" style="28" bestFit="1" customWidth="1"/>
    <col min="15874" max="15874" width="7.6640625" style="28" customWidth="1"/>
    <col min="15875" max="15875" width="11.1640625" style="28" customWidth="1"/>
    <col min="15876" max="15876" width="12.1640625" style="28" customWidth="1"/>
    <col min="15877" max="15879" width="11.6640625" style="28" customWidth="1"/>
    <col min="15880" max="15880" width="10.83203125" style="28" bestFit="1" customWidth="1"/>
    <col min="15881" max="15881" width="11.6640625" style="28" bestFit="1" customWidth="1"/>
    <col min="15882" max="15885" width="11.1640625" style="28" customWidth="1"/>
    <col min="15886" max="15886" width="11.6640625" style="28" customWidth="1"/>
    <col min="15887" max="15887" width="12.5" style="28" customWidth="1"/>
    <col min="15888" max="16128" width="9.6640625" style="28"/>
    <col min="16129" max="16129" width="14" style="28" bestFit="1" customWidth="1"/>
    <col min="16130" max="16130" width="7.6640625" style="28" customWidth="1"/>
    <col min="16131" max="16131" width="11.1640625" style="28" customWidth="1"/>
    <col min="16132" max="16132" width="12.1640625" style="28" customWidth="1"/>
    <col min="16133" max="16135" width="11.6640625" style="28" customWidth="1"/>
    <col min="16136" max="16136" width="10.83203125" style="28" bestFit="1" customWidth="1"/>
    <col min="16137" max="16137" width="11.6640625" style="28" bestFit="1" customWidth="1"/>
    <col min="16138" max="16141" width="11.1640625" style="28" customWidth="1"/>
    <col min="16142" max="16142" width="11.6640625" style="28" customWidth="1"/>
    <col min="16143" max="16143" width="12.5" style="28" customWidth="1"/>
    <col min="16144" max="16384" width="9.6640625" style="28"/>
  </cols>
  <sheetData>
    <row r="1" spans="1:20">
      <c r="A1" s="27" t="s">
        <v>228</v>
      </c>
      <c r="B1" s="125">
        <v>43830</v>
      </c>
      <c r="C1" s="126"/>
      <c r="D1" s="126"/>
      <c r="E1" s="126"/>
      <c r="F1" s="126"/>
      <c r="G1" s="126"/>
      <c r="H1" s="126"/>
      <c r="I1" s="127"/>
    </row>
    <row r="2" spans="1:20">
      <c r="A2" s="30" t="s">
        <v>231</v>
      </c>
      <c r="B2" s="128" t="s">
        <v>232</v>
      </c>
      <c r="C2" s="129"/>
      <c r="D2" s="129"/>
      <c r="E2" s="129"/>
      <c r="F2" s="129"/>
      <c r="G2" s="129"/>
      <c r="H2" s="129"/>
      <c r="I2" s="130"/>
    </row>
    <row r="3" spans="1:20">
      <c r="A3" s="30" t="s">
        <v>234</v>
      </c>
      <c r="B3" s="131" t="s">
        <v>624</v>
      </c>
      <c r="C3" s="132"/>
      <c r="D3" s="132"/>
      <c r="E3" s="133"/>
      <c r="F3" s="31"/>
      <c r="G3" s="31"/>
      <c r="H3" s="131" t="s">
        <v>625</v>
      </c>
      <c r="I3" s="134"/>
      <c r="J3" s="22"/>
      <c r="K3" s="22"/>
      <c r="L3" s="22"/>
      <c r="M3" s="22"/>
      <c r="N3" s="22"/>
    </row>
    <row r="4" spans="1:20">
      <c r="A4" s="30" t="s">
        <v>236</v>
      </c>
      <c r="B4" s="135" t="s">
        <v>237</v>
      </c>
      <c r="C4" s="136"/>
      <c r="D4" s="136"/>
      <c r="E4" s="136"/>
      <c r="F4" s="136"/>
      <c r="G4" s="136"/>
      <c r="H4" s="136"/>
      <c r="I4" s="137"/>
    </row>
    <row r="5" spans="1:20">
      <c r="A5" s="30" t="s">
        <v>238</v>
      </c>
      <c r="B5" s="138" t="s">
        <v>239</v>
      </c>
      <c r="C5" s="139"/>
      <c r="D5" s="139"/>
      <c r="E5" s="139"/>
      <c r="F5" s="139"/>
      <c r="G5" s="139"/>
      <c r="H5" s="139"/>
      <c r="I5" s="140"/>
    </row>
    <row r="6" spans="1:20">
      <c r="A6" s="30" t="s">
        <v>240</v>
      </c>
      <c r="B6" s="128" t="s">
        <v>241</v>
      </c>
      <c r="C6" s="129"/>
      <c r="D6" s="129"/>
      <c r="E6" s="129"/>
      <c r="F6" s="129"/>
      <c r="G6" s="129"/>
      <c r="H6" s="129"/>
      <c r="I6" s="130"/>
    </row>
    <row r="7" spans="1:20" ht="17" thickBot="1">
      <c r="A7" s="32" t="s">
        <v>242</v>
      </c>
      <c r="B7" s="141" t="s">
        <v>243</v>
      </c>
      <c r="C7" s="142"/>
      <c r="D7" s="142"/>
      <c r="E7" s="142"/>
      <c r="F7" s="142"/>
      <c r="G7" s="142"/>
      <c r="H7" s="142"/>
      <c r="I7" s="143"/>
    </row>
    <row r="8" spans="1:20" s="34" customFormat="1" ht="19">
      <c r="A8" s="33" t="s">
        <v>626</v>
      </c>
      <c r="B8" s="33"/>
      <c r="C8" s="33"/>
      <c r="D8" s="33"/>
      <c r="E8" s="33"/>
      <c r="F8" s="33"/>
      <c r="G8" s="33"/>
      <c r="H8" s="33"/>
      <c r="I8" s="33"/>
      <c r="T8" s="35"/>
    </row>
    <row r="9" spans="1:20">
      <c r="A9" s="28" t="s">
        <v>627</v>
      </c>
      <c r="C9" s="36" t="s">
        <v>628</v>
      </c>
      <c r="H9" s="37" t="s">
        <v>629</v>
      </c>
      <c r="I9" s="38"/>
      <c r="J9" s="38"/>
      <c r="K9" s="38"/>
      <c r="L9" s="38"/>
      <c r="M9" s="38"/>
      <c r="N9" s="38"/>
      <c r="O9" s="39"/>
    </row>
    <row r="10" spans="1:20">
      <c r="A10" s="28" t="s">
        <v>630</v>
      </c>
      <c r="C10" s="36">
        <v>2000</v>
      </c>
      <c r="H10" s="40" t="s">
        <v>631</v>
      </c>
      <c r="I10" s="41"/>
      <c r="K10" s="41"/>
      <c r="L10" s="41"/>
      <c r="M10" s="41"/>
      <c r="N10" s="41"/>
      <c r="O10" s="42"/>
    </row>
    <row r="11" spans="1:20">
      <c r="E11" s="29"/>
      <c r="F11" s="29"/>
      <c r="G11" s="29"/>
      <c r="J11" s="43"/>
    </row>
    <row r="12" spans="1:20">
      <c r="A12" s="28" t="s">
        <v>632</v>
      </c>
      <c r="D12" s="93">
        <f>IF(C10=1928,100,VLOOKUP(C10-1,A21:M116,8))</f>
        <v>156658.0490724665</v>
      </c>
      <c r="E12" s="44"/>
      <c r="S12" s="29"/>
      <c r="T12" s="28"/>
    </row>
    <row r="13" spans="1:20">
      <c r="A13" s="28" t="s">
        <v>633</v>
      </c>
      <c r="D13" s="93">
        <f>IF(C10=1928,100,VLOOKUP(C10-1,A21:J116,9))</f>
        <v>1516.0468253839256</v>
      </c>
      <c r="E13" s="44"/>
      <c r="S13" s="29"/>
      <c r="T13" s="28"/>
    </row>
    <row r="14" spans="1:20">
      <c r="A14" s="28" t="s">
        <v>634</v>
      </c>
      <c r="D14" s="93">
        <f>IF(C10=1928,100,VLOOKUP(C10-1,A20:J116,10))</f>
        <v>2912.8788088601259</v>
      </c>
      <c r="E14" s="44"/>
      <c r="I14" s="43"/>
      <c r="S14" s="29"/>
      <c r="T14" s="28"/>
    </row>
    <row r="15" spans="1:20">
      <c r="A15" s="28" t="s">
        <v>635</v>
      </c>
      <c r="D15" s="93">
        <f>IF(C10=1928,100,VLOOKUP(C10-1,A20:L116,12))</f>
        <v>1705.0958509641575</v>
      </c>
      <c r="E15" s="44"/>
      <c r="S15" s="29"/>
      <c r="T15" s="28"/>
    </row>
    <row r="16" spans="1:20">
      <c r="A16" s="28" t="s">
        <v>636</v>
      </c>
      <c r="D16" s="93">
        <f>IF(C10=1928,100,VLOOKUP(C10-1,A20:M116,13))</f>
        <v>1406.2499999999995</v>
      </c>
      <c r="E16" s="44"/>
      <c r="S16" s="29"/>
      <c r="T16" s="28"/>
    </row>
    <row r="17" spans="1:25">
      <c r="A17" s="28" t="s">
        <v>637</v>
      </c>
      <c r="D17" s="45">
        <f>IF(C9="ST",(H116/D12)^(1/(A116-C10+1))-(I116/D13)^(1/(A116-C10+1)),(H116/D12)^(1/(A116-C10+1))-(J116/D14)^(1/(A116-C10+1)))</f>
        <v>3.0675495800587704E-2</v>
      </c>
      <c r="E17" s="46"/>
      <c r="S17" s="29"/>
      <c r="T17" s="28"/>
    </row>
    <row r="19" spans="1:25">
      <c r="B19" s="144" t="s">
        <v>638</v>
      </c>
      <c r="C19" s="144"/>
      <c r="D19" s="144"/>
      <c r="E19" s="144"/>
      <c r="F19" s="144"/>
      <c r="G19" s="144"/>
      <c r="H19" s="145" t="s">
        <v>639</v>
      </c>
      <c r="I19" s="124"/>
      <c r="J19" s="124"/>
      <c r="K19" s="124"/>
      <c r="L19" s="124"/>
      <c r="M19" s="124"/>
      <c r="N19" s="146" t="s">
        <v>640</v>
      </c>
      <c r="O19" s="147"/>
      <c r="P19" s="147"/>
      <c r="Q19" s="148"/>
      <c r="R19" s="124" t="s">
        <v>641</v>
      </c>
      <c r="S19" s="124"/>
      <c r="T19" s="124"/>
      <c r="U19" s="124"/>
      <c r="V19" s="124"/>
      <c r="W19" s="124"/>
      <c r="X19" s="124"/>
      <c r="Y19" s="47"/>
    </row>
    <row r="20" spans="1:25" s="56" customFormat="1" ht="102">
      <c r="A20" s="48" t="s">
        <v>165</v>
      </c>
      <c r="B20" s="49" t="s">
        <v>642</v>
      </c>
      <c r="C20" s="50" t="s">
        <v>643</v>
      </c>
      <c r="D20" s="50" t="s">
        <v>644</v>
      </c>
      <c r="E20" s="49" t="s">
        <v>645</v>
      </c>
      <c r="F20" s="51" t="s">
        <v>646</v>
      </c>
      <c r="G20" s="52" t="s">
        <v>647</v>
      </c>
      <c r="H20" s="53" t="s">
        <v>648</v>
      </c>
      <c r="I20" s="53" t="s">
        <v>649</v>
      </c>
      <c r="J20" s="53" t="s">
        <v>650</v>
      </c>
      <c r="K20" s="53" t="s">
        <v>651</v>
      </c>
      <c r="L20" s="53" t="s">
        <v>652</v>
      </c>
      <c r="M20" s="53" t="s">
        <v>653</v>
      </c>
      <c r="N20" s="54" t="s">
        <v>654</v>
      </c>
      <c r="O20" s="54" t="s">
        <v>655</v>
      </c>
      <c r="P20" s="55" t="s">
        <v>656</v>
      </c>
      <c r="Q20" s="55" t="s">
        <v>657</v>
      </c>
      <c r="R20" s="54" t="s">
        <v>658</v>
      </c>
      <c r="S20" s="54" t="s">
        <v>659</v>
      </c>
      <c r="T20" s="54" t="s">
        <v>660</v>
      </c>
      <c r="U20" s="54" t="s">
        <v>661</v>
      </c>
      <c r="V20" s="54" t="s">
        <v>662</v>
      </c>
      <c r="W20" s="54" t="s">
        <v>663</v>
      </c>
      <c r="X20" s="54" t="s">
        <v>664</v>
      </c>
    </row>
    <row r="21" spans="1:25">
      <c r="A21" s="57">
        <v>1928</v>
      </c>
      <c r="B21" s="58">
        <v>0.43811155152887893</v>
      </c>
      <c r="C21" s="58">
        <v>3.0800000000000001E-2</v>
      </c>
      <c r="D21" s="58">
        <v>8.354708589799302E-3</v>
      </c>
      <c r="E21" s="58">
        <v>3.2195514702324381E-2</v>
      </c>
      <c r="F21" s="58">
        <v>1.491053677932408E-2</v>
      </c>
      <c r="G21" s="58">
        <v>9.6899224806201723E-4</v>
      </c>
      <c r="H21" s="59">
        <f t="shared" ref="H21:M21" si="0">100*(1+B21)</f>
        <v>143.81115515288789</v>
      </c>
      <c r="I21" s="60">
        <f t="shared" si="0"/>
        <v>103.08</v>
      </c>
      <c r="J21" s="60">
        <f t="shared" si="0"/>
        <v>100.83547085897993</v>
      </c>
      <c r="K21" s="60">
        <f t="shared" si="0"/>
        <v>103.21955147023243</v>
      </c>
      <c r="L21" s="60">
        <f t="shared" si="0"/>
        <v>101.49105367793241</v>
      </c>
      <c r="M21" s="60">
        <f t="shared" si="0"/>
        <v>100.09689922480621</v>
      </c>
      <c r="N21" s="61">
        <f t="shared" ref="N21:N84" si="1">B21-C21</f>
        <v>0.40731155152887893</v>
      </c>
      <c r="O21" s="61">
        <f t="shared" ref="O21:O84" si="2">B21-D21</f>
        <v>0.42975684293907962</v>
      </c>
      <c r="P21" s="62">
        <f t="shared" ref="P21:P84" si="3">B21-E21</f>
        <v>0.40591603682655453</v>
      </c>
      <c r="Q21" s="57"/>
      <c r="R21" s="63">
        <v>-1.15607E-2</v>
      </c>
      <c r="S21" s="64">
        <f t="shared" ref="S21:X52" si="4">(1+B21)/(1+$R21)-1</f>
        <v>0.45493157903462444</v>
      </c>
      <c r="T21" s="64">
        <f t="shared" si="4"/>
        <v>4.2856147059308514E-2</v>
      </c>
      <c r="U21" s="64">
        <f t="shared" si="4"/>
        <v>2.0148337474844569E-2</v>
      </c>
      <c r="V21" s="64">
        <f t="shared" si="4"/>
        <v>4.4267983580098758E-2</v>
      </c>
      <c r="W21" s="64">
        <f t="shared" si="4"/>
        <v>2.678084206012854E-2</v>
      </c>
      <c r="X21" s="64">
        <f t="shared" si="4"/>
        <v>1.2676238437769438E-2</v>
      </c>
    </row>
    <row r="22" spans="1:25">
      <c r="A22" s="57">
        <v>1929</v>
      </c>
      <c r="B22" s="65">
        <v>-8.2979466119096595E-2</v>
      </c>
      <c r="C22" s="65">
        <v>3.1600000000000003E-2</v>
      </c>
      <c r="D22" s="65">
        <v>4.2038041563204259E-2</v>
      </c>
      <c r="E22" s="65">
        <v>3.0178562399040432E-2</v>
      </c>
      <c r="F22" s="65">
        <v>-2.0568070519098924E-2</v>
      </c>
      <c r="G22" s="65">
        <v>-1.4520813165538327E-3</v>
      </c>
      <c r="H22" s="66">
        <f t="shared" ref="H22:M37" si="5">H21*(1+B22)</f>
        <v>131.87778227633069</v>
      </c>
      <c r="I22" s="60">
        <f t="shared" si="5"/>
        <v>106.337328</v>
      </c>
      <c r="J22" s="60">
        <f t="shared" si="5"/>
        <v>105.074396573995</v>
      </c>
      <c r="K22" s="60">
        <f t="shared" si="5"/>
        <v>106.33456914507781</v>
      </c>
      <c r="L22" s="60">
        <f t="shared" si="5"/>
        <v>99.40357852882704</v>
      </c>
      <c r="M22" s="60">
        <f t="shared" si="5"/>
        <v>99.951550387596896</v>
      </c>
      <c r="N22" s="61">
        <f t="shared" si="1"/>
        <v>-0.1145794661190966</v>
      </c>
      <c r="O22" s="61">
        <f t="shared" si="2"/>
        <v>-0.12501750768230085</v>
      </c>
      <c r="P22" s="62">
        <f t="shared" si="3"/>
        <v>-0.11315802851813703</v>
      </c>
      <c r="Q22" s="57"/>
      <c r="R22" s="63">
        <v>5.8479999999999999E-3</v>
      </c>
      <c r="S22" s="67">
        <f t="shared" si="4"/>
        <v>-8.8311023255100762E-2</v>
      </c>
      <c r="T22" s="67">
        <f t="shared" si="4"/>
        <v>2.5602277878963742E-2</v>
      </c>
      <c r="U22" s="67">
        <f t="shared" si="4"/>
        <v>3.5979632671342188E-2</v>
      </c>
      <c r="V22" s="67">
        <f t="shared" si="4"/>
        <v>2.4189104515831783E-2</v>
      </c>
      <c r="W22" s="67">
        <f t="shared" si="4"/>
        <v>-2.6262487492244357E-2</v>
      </c>
      <c r="X22" s="67">
        <f t="shared" si="4"/>
        <v>-7.2576386457535724E-3</v>
      </c>
    </row>
    <row r="23" spans="1:25">
      <c r="A23" s="57">
        <v>1930</v>
      </c>
      <c r="B23" s="65">
        <v>-0.25123636363636365</v>
      </c>
      <c r="C23" s="65">
        <v>4.5499999999999999E-2</v>
      </c>
      <c r="D23" s="65">
        <v>4.5409314348970366E-2</v>
      </c>
      <c r="E23" s="65">
        <v>5.3978094648238287E-3</v>
      </c>
      <c r="F23" s="65">
        <v>-4.2999999999999927E-2</v>
      </c>
      <c r="G23" s="65">
        <v>9.6946194861846635E-4</v>
      </c>
      <c r="H23" s="68">
        <f t="shared" si="5"/>
        <v>98.745287812797272</v>
      </c>
      <c r="I23" s="60">
        <f t="shared" si="5"/>
        <v>111.17567642400002</v>
      </c>
      <c r="J23" s="60">
        <f t="shared" si="5"/>
        <v>109.84575287805193</v>
      </c>
      <c r="K23" s="60">
        <f t="shared" si="5"/>
        <v>106.90854288884708</v>
      </c>
      <c r="L23" s="60">
        <f t="shared" si="5"/>
        <v>95.129224652087487</v>
      </c>
      <c r="M23" s="60">
        <f t="shared" si="5"/>
        <v>100.04844961240309</v>
      </c>
      <c r="N23" s="61">
        <f t="shared" si="1"/>
        <v>-0.29673636363636363</v>
      </c>
      <c r="O23" s="61">
        <f t="shared" si="2"/>
        <v>-0.29664567798533403</v>
      </c>
      <c r="P23" s="62">
        <f t="shared" si="3"/>
        <v>-0.25663417310118747</v>
      </c>
      <c r="Q23" s="57"/>
      <c r="R23" s="63">
        <v>-6.3953499999999996E-2</v>
      </c>
      <c r="S23" s="67">
        <f t="shared" si="4"/>
        <v>-0.20007858972429649</v>
      </c>
      <c r="T23" s="67">
        <f t="shared" si="4"/>
        <v>0.11693169089356137</v>
      </c>
      <c r="U23" s="67">
        <f t="shared" si="4"/>
        <v>0.11683480932728285</v>
      </c>
      <c r="V23" s="67">
        <f t="shared" si="4"/>
        <v>7.4089598609496266E-2</v>
      </c>
      <c r="W23" s="67">
        <f t="shared" si="4"/>
        <v>2.2385105868138133E-2</v>
      </c>
      <c r="X23" s="67">
        <f t="shared" si="4"/>
        <v>6.9358693129687898E-2</v>
      </c>
    </row>
    <row r="24" spans="1:25">
      <c r="A24" s="57">
        <v>1931</v>
      </c>
      <c r="B24" s="65">
        <v>-0.43837548891786188</v>
      </c>
      <c r="C24" s="65">
        <v>2.3099999999999999E-2</v>
      </c>
      <c r="D24" s="65">
        <v>-2.5588559619422531E-2</v>
      </c>
      <c r="E24" s="65">
        <v>-0.15680775082667592</v>
      </c>
      <c r="F24" s="65">
        <v>-8.1504702194357348E-2</v>
      </c>
      <c r="G24" s="65">
        <v>-0.17384987893462467</v>
      </c>
      <c r="H24" s="59">
        <f t="shared" si="5"/>
        <v>55.457773989527276</v>
      </c>
      <c r="I24" s="60">
        <f t="shared" si="5"/>
        <v>113.74383454939441</v>
      </c>
      <c r="J24" s="60">
        <f t="shared" si="5"/>
        <v>107.03495828159154</v>
      </c>
      <c r="K24" s="60">
        <f t="shared" si="5"/>
        <v>90.144454734289752</v>
      </c>
      <c r="L24" s="60">
        <f t="shared" si="5"/>
        <v>87.375745526838983</v>
      </c>
      <c r="M24" s="60">
        <f t="shared" si="5"/>
        <v>82.655038759689916</v>
      </c>
      <c r="N24" s="61">
        <f t="shared" si="1"/>
        <v>-0.46147548891786189</v>
      </c>
      <c r="O24" s="61">
        <f t="shared" si="2"/>
        <v>-0.41278692929843935</v>
      </c>
      <c r="P24" s="62">
        <f t="shared" si="3"/>
        <v>-0.28156773809118596</v>
      </c>
      <c r="Q24" s="57"/>
      <c r="R24" s="63">
        <v>-9.3167700000000006E-2</v>
      </c>
      <c r="S24" s="67">
        <f t="shared" si="4"/>
        <v>-0.38067434179159909</v>
      </c>
      <c r="T24" s="67">
        <f t="shared" si="4"/>
        <v>0.1282130113803841</v>
      </c>
      <c r="U24" s="67">
        <f t="shared" si="4"/>
        <v>7.4522202595317166E-2</v>
      </c>
      <c r="V24" s="67">
        <f t="shared" si="4"/>
        <v>-7.0178412068775953E-2</v>
      </c>
      <c r="W24" s="67">
        <f t="shared" si="4"/>
        <v>1.2861250978425165E-2</v>
      </c>
      <c r="X24" s="67">
        <f t="shared" si="4"/>
        <v>-8.8971443710843423E-2</v>
      </c>
    </row>
    <row r="25" spans="1:25">
      <c r="A25" s="57">
        <v>1932</v>
      </c>
      <c r="B25" s="65">
        <v>-8.642364532019696E-2</v>
      </c>
      <c r="C25" s="65">
        <v>1.0699999999999999E-2</v>
      </c>
      <c r="D25" s="65">
        <v>8.7903069904773257E-2</v>
      </c>
      <c r="E25" s="65">
        <v>0.23589601675740196</v>
      </c>
      <c r="F25" s="65">
        <v>-0.10466439135381123</v>
      </c>
      <c r="G25" s="65">
        <v>0.21277842907385724</v>
      </c>
      <c r="H25" s="59">
        <f t="shared" si="5"/>
        <v>50.664911000008722</v>
      </c>
      <c r="I25" s="60">
        <f t="shared" si="5"/>
        <v>114.96089357907292</v>
      </c>
      <c r="J25" s="60">
        <f t="shared" si="5"/>
        <v>116.44365970167279</v>
      </c>
      <c r="K25" s="60">
        <f t="shared" si="5"/>
        <v>111.40917253887663</v>
      </c>
      <c r="L25" s="60">
        <f t="shared" si="5"/>
        <v>78.230616302186888</v>
      </c>
      <c r="M25" s="60">
        <f t="shared" si="5"/>
        <v>100.24224806201552</v>
      </c>
      <c r="N25" s="61">
        <f t="shared" si="1"/>
        <v>-9.7123645320196961E-2</v>
      </c>
      <c r="O25" s="61">
        <f t="shared" si="2"/>
        <v>-0.17432671522497023</v>
      </c>
      <c r="P25" s="62">
        <f t="shared" si="3"/>
        <v>-0.32231966207759893</v>
      </c>
      <c r="Q25" s="57"/>
      <c r="R25" s="63">
        <v>-0.1027397</v>
      </c>
      <c r="S25" s="67">
        <f t="shared" si="4"/>
        <v>1.8184304688174668E-2</v>
      </c>
      <c r="T25" s="67">
        <f t="shared" si="4"/>
        <v>0.12642897495854877</v>
      </c>
      <c r="U25" s="67">
        <f t="shared" si="4"/>
        <v>0.21247208853971733</v>
      </c>
      <c r="V25" s="67">
        <f t="shared" si="4"/>
        <v>0.37741078788106641</v>
      </c>
      <c r="W25" s="67">
        <f t="shared" si="4"/>
        <v>-2.1450757977492518E-3</v>
      </c>
      <c r="X25" s="67">
        <f t="shared" si="4"/>
        <v>0.35164614892005952</v>
      </c>
    </row>
    <row r="26" spans="1:25">
      <c r="A26" s="57">
        <v>1933</v>
      </c>
      <c r="B26" s="65">
        <v>0.49982225433526023</v>
      </c>
      <c r="C26" s="65">
        <v>9.5999999999999992E-3</v>
      </c>
      <c r="D26" s="65">
        <v>1.8552720891857361E-2</v>
      </c>
      <c r="E26" s="65">
        <v>0.1296689369754826</v>
      </c>
      <c r="F26" s="65">
        <v>-3.811944091486652E-2</v>
      </c>
      <c r="G26" s="65">
        <v>0.27259545674238739</v>
      </c>
      <c r="H26" s="59">
        <f t="shared" si="5"/>
        <v>75.988361031728402</v>
      </c>
      <c r="I26" s="60">
        <f t="shared" si="5"/>
        <v>116.06451815743202</v>
      </c>
      <c r="J26" s="60">
        <f t="shared" si="5"/>
        <v>118.60400641974435</v>
      </c>
      <c r="K26" s="60">
        <f t="shared" si="5"/>
        <v>125.8554815113109</v>
      </c>
      <c r="L26" s="60">
        <f t="shared" si="5"/>
        <v>75.248508946322076</v>
      </c>
      <c r="M26" s="60">
        <f t="shared" si="5"/>
        <v>127.56782945736434</v>
      </c>
      <c r="N26" s="61">
        <f t="shared" si="1"/>
        <v>0.49022225433526023</v>
      </c>
      <c r="O26" s="61">
        <f t="shared" si="2"/>
        <v>0.48126953344340284</v>
      </c>
      <c r="P26" s="62">
        <f t="shared" si="3"/>
        <v>0.37015331735977763</v>
      </c>
      <c r="Q26" s="57"/>
      <c r="R26" s="63">
        <v>7.6336000000000008E-3</v>
      </c>
      <c r="S26" s="67">
        <f t="shared" si="4"/>
        <v>0.48845994648775148</v>
      </c>
      <c r="T26" s="67">
        <f t="shared" si="4"/>
        <v>1.9515030066485917E-3</v>
      </c>
      <c r="U26" s="67">
        <f t="shared" si="4"/>
        <v>1.0836400147690162E-2</v>
      </c>
      <c r="V26" s="67">
        <f t="shared" si="4"/>
        <v>0.12111082537887063</v>
      </c>
      <c r="W26" s="67">
        <f t="shared" si="4"/>
        <v>-4.5406426418160728E-2</v>
      </c>
      <c r="X26" s="67">
        <f t="shared" si="4"/>
        <v>0.26295456676155649</v>
      </c>
    </row>
    <row r="27" spans="1:25">
      <c r="A27" s="57">
        <v>1934</v>
      </c>
      <c r="B27" s="65">
        <v>-1.1885656970912803E-2</v>
      </c>
      <c r="C27" s="65">
        <v>2.7833333333333334E-3</v>
      </c>
      <c r="D27" s="65">
        <v>7.9634426179656104E-2</v>
      </c>
      <c r="E27" s="65">
        <v>0.18816429268482648</v>
      </c>
      <c r="F27" s="65">
        <v>2.9062087186261465E-2</v>
      </c>
      <c r="G27" s="65">
        <v>0.31750854538549178</v>
      </c>
      <c r="H27" s="59">
        <f t="shared" si="5"/>
        <v>75.085189438723404</v>
      </c>
      <c r="I27" s="60">
        <f t="shared" si="5"/>
        <v>116.38756439963687</v>
      </c>
      <c r="J27" s="60">
        <f t="shared" si="5"/>
        <v>128.04896841358894</v>
      </c>
      <c r="K27" s="60">
        <f t="shared" si="5"/>
        <v>149.53698917039497</v>
      </c>
      <c r="L27" s="60">
        <f t="shared" si="5"/>
        <v>77.435387673956271</v>
      </c>
      <c r="M27" s="60">
        <f t="shared" si="5"/>
        <v>168.07170542635657</v>
      </c>
      <c r="N27" s="61">
        <f t="shared" si="1"/>
        <v>-1.4668990304246137E-2</v>
      </c>
      <c r="O27" s="61">
        <f t="shared" si="2"/>
        <v>-9.1520083150568907E-2</v>
      </c>
      <c r="P27" s="62">
        <f t="shared" si="3"/>
        <v>-0.2000499496557393</v>
      </c>
      <c r="Q27" s="57"/>
      <c r="R27" s="63">
        <v>1.51515E-2</v>
      </c>
      <c r="S27" s="67">
        <f t="shared" si="4"/>
        <v>-2.6633617712147228E-2</v>
      </c>
      <c r="T27" s="67">
        <f t="shared" si="4"/>
        <v>-1.2183567346023327E-2</v>
      </c>
      <c r="U27" s="67">
        <f t="shared" si="4"/>
        <v>6.3520495393698306E-2</v>
      </c>
      <c r="V27" s="67">
        <f t="shared" si="4"/>
        <v>0.17043051474073234</v>
      </c>
      <c r="W27" s="67">
        <f t="shared" si="4"/>
        <v>1.370296668651072E-2</v>
      </c>
      <c r="X27" s="67">
        <f t="shared" si="4"/>
        <v>0.29784425810875703</v>
      </c>
    </row>
    <row r="28" spans="1:25">
      <c r="A28" s="57">
        <v>1935</v>
      </c>
      <c r="B28" s="65">
        <v>0.46740421052631581</v>
      </c>
      <c r="C28" s="65">
        <v>1.6750000000000001E-3</v>
      </c>
      <c r="D28" s="65">
        <v>4.4720477296566127E-2</v>
      </c>
      <c r="E28" s="65">
        <v>0.1330773186567917</v>
      </c>
      <c r="F28" s="65">
        <v>9.7658337262297445E-2</v>
      </c>
      <c r="G28" s="65">
        <v>4.3240126837706949E-3</v>
      </c>
      <c r="H28" s="59">
        <f t="shared" si="5"/>
        <v>110.18032313054879</v>
      </c>
      <c r="I28" s="60">
        <f t="shared" si="5"/>
        <v>116.58251357000627</v>
      </c>
      <c r="J28" s="60">
        <f t="shared" si="5"/>
        <v>133.77537939837757</v>
      </c>
      <c r="K28" s="60">
        <f t="shared" si="5"/>
        <v>169.43697072920085</v>
      </c>
      <c r="L28" s="60">
        <f t="shared" si="5"/>
        <v>84.997598879456248</v>
      </c>
      <c r="M28" s="60">
        <f t="shared" si="5"/>
        <v>168.79844961240312</v>
      </c>
      <c r="N28" s="61">
        <f t="shared" si="1"/>
        <v>0.46572921052631583</v>
      </c>
      <c r="O28" s="61">
        <f t="shared" si="2"/>
        <v>0.42268373322974967</v>
      </c>
      <c r="P28" s="62">
        <f t="shared" si="3"/>
        <v>0.33432689186952413</v>
      </c>
      <c r="Q28" s="57"/>
      <c r="R28" s="63">
        <v>2.9850699999999997E-2</v>
      </c>
      <c r="S28" s="67">
        <f t="shared" si="4"/>
        <v>0.42487081916467706</v>
      </c>
      <c r="T28" s="67">
        <f t="shared" si="4"/>
        <v>-2.7359014272651194E-2</v>
      </c>
      <c r="U28" s="67">
        <f t="shared" si="4"/>
        <v>1.4438769907682891E-2</v>
      </c>
      <c r="V28" s="67">
        <f t="shared" si="4"/>
        <v>0.10023454725698766</v>
      </c>
      <c r="W28" s="67">
        <f t="shared" si="4"/>
        <v>6.5842201459199501E-2</v>
      </c>
      <c r="X28" s="67">
        <f t="shared" si="4"/>
        <v>-2.4786784449657762E-2</v>
      </c>
    </row>
    <row r="29" spans="1:25">
      <c r="A29" s="57">
        <v>1936</v>
      </c>
      <c r="B29" s="65">
        <v>0.31943410275502609</v>
      </c>
      <c r="C29" s="65">
        <v>1.725E-3</v>
      </c>
      <c r="D29" s="65">
        <v>5.0178754045450601E-2</v>
      </c>
      <c r="E29" s="65">
        <v>0.11383815871922703</v>
      </c>
      <c r="F29" s="65">
        <v>3.2186014546704111E-2</v>
      </c>
      <c r="G29" s="65">
        <v>8.61079219288019E-4</v>
      </c>
      <c r="H29" s="59">
        <f t="shared" si="5"/>
        <v>145.37567579101449</v>
      </c>
      <c r="I29" s="60">
        <f t="shared" si="5"/>
        <v>116.78361840591452</v>
      </c>
      <c r="J29" s="60">
        <f t="shared" si="5"/>
        <v>140.4880612585456</v>
      </c>
      <c r="K29" s="60">
        <f t="shared" si="5"/>
        <v>188.72536349597664</v>
      </c>
      <c r="L29" s="60">
        <f t="shared" si="5"/>
        <v>87.733332833425351</v>
      </c>
      <c r="M29" s="60">
        <f t="shared" si="5"/>
        <v>168.94379844961239</v>
      </c>
      <c r="N29" s="61">
        <f t="shared" si="1"/>
        <v>0.31770910275502612</v>
      </c>
      <c r="O29" s="61">
        <f t="shared" si="2"/>
        <v>0.26925534870957551</v>
      </c>
      <c r="P29" s="62">
        <f t="shared" si="3"/>
        <v>0.20559594403579906</v>
      </c>
      <c r="Q29" s="57"/>
      <c r="R29" s="63">
        <v>1.4492799999999998E-2</v>
      </c>
      <c r="S29" s="67">
        <f t="shared" si="4"/>
        <v>0.30058498468892636</v>
      </c>
      <c r="T29" s="67">
        <f t="shared" si="4"/>
        <v>-1.2585402281810154E-2</v>
      </c>
      <c r="U29" s="67">
        <f t="shared" si="4"/>
        <v>3.5176153093891438E-2</v>
      </c>
      <c r="V29" s="67">
        <f t="shared" si="4"/>
        <v>9.7926134832329037E-2</v>
      </c>
      <c r="W29" s="67">
        <f t="shared" si="4"/>
        <v>1.7440453541616163E-2</v>
      </c>
      <c r="X29" s="67">
        <f t="shared" si="4"/>
        <v>-1.3436981298154071E-2</v>
      </c>
    </row>
    <row r="30" spans="1:25">
      <c r="A30" s="57">
        <v>1937</v>
      </c>
      <c r="B30" s="65">
        <v>-0.35336728754365537</v>
      </c>
      <c r="C30" s="65">
        <v>2.7583333333333331E-3</v>
      </c>
      <c r="D30" s="65">
        <v>1.379146059646038E-2</v>
      </c>
      <c r="E30" s="65">
        <v>-4.4161916839982614E-2</v>
      </c>
      <c r="F30" s="65">
        <v>2.5633912223270494E-2</v>
      </c>
      <c r="G30" s="65">
        <v>-2.2942357327214724E-3</v>
      </c>
      <c r="H30" s="59">
        <f t="shared" si="5"/>
        <v>94.004667561917856</v>
      </c>
      <c r="I30" s="60">
        <f t="shared" si="5"/>
        <v>117.10574655335085</v>
      </c>
      <c r="J30" s="60">
        <f t="shared" si="5"/>
        <v>142.42559681966594</v>
      </c>
      <c r="K30" s="60">
        <f t="shared" si="5"/>
        <v>180.39088968767183</v>
      </c>
      <c r="L30" s="60">
        <f t="shared" si="5"/>
        <v>89.982281386332346</v>
      </c>
      <c r="M30" s="60">
        <f t="shared" si="5"/>
        <v>168.55620155038758</v>
      </c>
      <c r="N30" s="61">
        <f t="shared" si="1"/>
        <v>-0.35612562087698868</v>
      </c>
      <c r="O30" s="61">
        <f t="shared" si="2"/>
        <v>-0.36715874814011573</v>
      </c>
      <c r="P30" s="62">
        <f t="shared" si="3"/>
        <v>-0.30920537070367277</v>
      </c>
      <c r="Q30" s="57"/>
      <c r="R30" s="63">
        <v>2.8571399999999997E-2</v>
      </c>
      <c r="S30" s="67">
        <f t="shared" si="4"/>
        <v>-0.37132928987103397</v>
      </c>
      <c r="T30" s="67">
        <f t="shared" si="4"/>
        <v>-2.5096037734149035E-2</v>
      </c>
      <c r="U30" s="67">
        <f t="shared" si="4"/>
        <v>-1.4369385930368517E-2</v>
      </c>
      <c r="V30" s="67">
        <f t="shared" si="4"/>
        <v>-7.0712948892009408E-2</v>
      </c>
      <c r="W30" s="67">
        <f t="shared" si="4"/>
        <v>-2.8558909733727988E-3</v>
      </c>
      <c r="X30" s="67">
        <f t="shared" si="4"/>
        <v>-3.0008257795930748E-2</v>
      </c>
    </row>
    <row r="31" spans="1:25">
      <c r="A31" s="57">
        <v>1938</v>
      </c>
      <c r="B31" s="65">
        <v>0.29282654028436017</v>
      </c>
      <c r="C31" s="65">
        <v>6.4999999999999997E-4</v>
      </c>
      <c r="D31" s="65">
        <v>4.2132485322046068E-2</v>
      </c>
      <c r="E31" s="65">
        <v>9.2358817136874202E-2</v>
      </c>
      <c r="F31" s="65">
        <v>-8.7368136326751999E-3</v>
      </c>
      <c r="G31" s="65">
        <v>1.7246335153779935E-3</v>
      </c>
      <c r="H31" s="59">
        <f t="shared" si="5"/>
        <v>121.53172913465568</v>
      </c>
      <c r="I31" s="60">
        <f t="shared" si="5"/>
        <v>117.18186528861054</v>
      </c>
      <c r="J31" s="60">
        <f t="shared" si="5"/>
        <v>148.42634118715418</v>
      </c>
      <c r="K31" s="60">
        <f t="shared" si="5"/>
        <v>197.05157888149355</v>
      </c>
      <c r="L31" s="60">
        <f t="shared" si="5"/>
        <v>89.196122963617029</v>
      </c>
      <c r="M31" s="60">
        <f t="shared" si="5"/>
        <v>168.84689922480618</v>
      </c>
      <c r="N31" s="61">
        <f t="shared" si="1"/>
        <v>0.29217654028436019</v>
      </c>
      <c r="O31" s="61">
        <f t="shared" si="2"/>
        <v>0.25069405496231412</v>
      </c>
      <c r="P31" s="62">
        <f t="shared" si="3"/>
        <v>0.20046772314748595</v>
      </c>
      <c r="Q31" s="57"/>
      <c r="R31" s="63">
        <v>-2.7777799999999998E-2</v>
      </c>
      <c r="S31" s="67">
        <f t="shared" si="4"/>
        <v>0.32976447182995838</v>
      </c>
      <c r="T31" s="67">
        <f t="shared" si="4"/>
        <v>2.9240023525486158E-2</v>
      </c>
      <c r="U31" s="67">
        <f t="shared" si="4"/>
        <v>7.1907723689138336E-2</v>
      </c>
      <c r="V31" s="67">
        <f t="shared" si="4"/>
        <v>0.12356909473664968</v>
      </c>
      <c r="W31" s="67">
        <f t="shared" si="4"/>
        <v>1.9585014996905903E-2</v>
      </c>
      <c r="X31" s="67">
        <f t="shared" si="4"/>
        <v>3.0345360880854155E-2</v>
      </c>
    </row>
    <row r="32" spans="1:25">
      <c r="A32" s="57">
        <v>1939</v>
      </c>
      <c r="B32" s="65">
        <v>-1.0975646879756443E-2</v>
      </c>
      <c r="C32" s="65">
        <v>4.5833333333333332E-4</v>
      </c>
      <c r="D32" s="65">
        <v>4.4122613942060671E-2</v>
      </c>
      <c r="E32" s="65">
        <v>7.9831377653461405E-2</v>
      </c>
      <c r="F32" s="65">
        <v>-1.3016072256937905E-2</v>
      </c>
      <c r="G32" s="65">
        <v>-1.2338593974175027E-2</v>
      </c>
      <c r="H32" s="59">
        <f t="shared" si="5"/>
        <v>120.19783979098749</v>
      </c>
      <c r="I32" s="60">
        <f t="shared" si="5"/>
        <v>117.23557364353447</v>
      </c>
      <c r="J32" s="60">
        <f t="shared" si="5"/>
        <v>154.97529933818757</v>
      </c>
      <c r="K32" s="60">
        <f t="shared" si="5"/>
        <v>212.7824778923929</v>
      </c>
      <c r="L32" s="60">
        <f t="shared" si="5"/>
        <v>88.035139782083874</v>
      </c>
      <c r="M32" s="60">
        <f t="shared" si="5"/>
        <v>166.76356589147284</v>
      </c>
      <c r="N32" s="61">
        <f t="shared" si="1"/>
        <v>-1.1433980213089777E-2</v>
      </c>
      <c r="O32" s="61">
        <f t="shared" si="2"/>
        <v>-5.509826082181711E-2</v>
      </c>
      <c r="P32" s="62">
        <f t="shared" si="3"/>
        <v>-9.0807024533217845E-2</v>
      </c>
      <c r="Q32" s="57"/>
      <c r="R32" s="63">
        <v>0</v>
      </c>
      <c r="S32" s="67">
        <f t="shared" si="4"/>
        <v>-1.0975646879756495E-2</v>
      </c>
      <c r="T32" s="67">
        <f t="shared" si="4"/>
        <v>4.5833333333322734E-4</v>
      </c>
      <c r="U32" s="67">
        <f t="shared" si="4"/>
        <v>4.412261394206074E-2</v>
      </c>
      <c r="V32" s="67">
        <f t="shared" si="4"/>
        <v>7.9831377653461377E-2</v>
      </c>
      <c r="W32" s="67">
        <f t="shared" si="4"/>
        <v>-1.3016072256937905E-2</v>
      </c>
      <c r="X32" s="67">
        <f t="shared" si="4"/>
        <v>-1.2338593974175027E-2</v>
      </c>
    </row>
    <row r="33" spans="1:24">
      <c r="A33" s="57">
        <v>1940</v>
      </c>
      <c r="B33" s="65">
        <v>-0.10672873194221515</v>
      </c>
      <c r="C33" s="65">
        <v>3.5833333333333333E-4</v>
      </c>
      <c r="D33" s="65">
        <v>5.4024815962845509E-2</v>
      </c>
      <c r="E33" s="65">
        <v>8.6481371775829569E-2</v>
      </c>
      <c r="F33" s="65">
        <v>3.306607685927565E-2</v>
      </c>
      <c r="G33" s="65">
        <v>-1.6560139453805967E-2</v>
      </c>
      <c r="H33" s="59">
        <f t="shared" si="5"/>
        <v>107.36927676790187</v>
      </c>
      <c r="I33" s="60">
        <f t="shared" si="5"/>
        <v>117.27758305742339</v>
      </c>
      <c r="J33" s="60">
        <f t="shared" si="5"/>
        <v>163.34781136372007</v>
      </c>
      <c r="K33" s="60">
        <f t="shared" si="5"/>
        <v>231.18419847038714</v>
      </c>
      <c r="L33" s="60">
        <f t="shared" si="5"/>
        <v>90.946116480435336</v>
      </c>
      <c r="M33" s="60">
        <f t="shared" si="5"/>
        <v>164.0019379844961</v>
      </c>
      <c r="N33" s="61">
        <f t="shared" si="1"/>
        <v>-0.10708706527554848</v>
      </c>
      <c r="O33" s="61">
        <f t="shared" si="2"/>
        <v>-0.16075354790506066</v>
      </c>
      <c r="P33" s="62">
        <f t="shared" si="3"/>
        <v>-0.1932101037180447</v>
      </c>
      <c r="Q33" s="57"/>
      <c r="R33" s="63">
        <v>7.1428999999999998E-3</v>
      </c>
      <c r="S33" s="67">
        <f t="shared" si="4"/>
        <v>-0.1130640269044394</v>
      </c>
      <c r="T33" s="67">
        <f t="shared" si="4"/>
        <v>-6.7364488859196214E-3</v>
      </c>
      <c r="U33" s="67">
        <f t="shared" si="4"/>
        <v>4.6549418124126607E-2</v>
      </c>
      <c r="V33" s="67">
        <f t="shared" si="4"/>
        <v>7.8775784226676748E-2</v>
      </c>
      <c r="W33" s="67">
        <f t="shared" si="4"/>
        <v>2.5739323445834295E-2</v>
      </c>
      <c r="X33" s="67">
        <f t="shared" si="4"/>
        <v>-2.3534931789526592E-2</v>
      </c>
    </row>
    <row r="34" spans="1:24">
      <c r="A34" s="57">
        <v>1941</v>
      </c>
      <c r="B34" s="65">
        <v>-0.12771455576559551</v>
      </c>
      <c r="C34" s="65">
        <v>1.2916666666666669E-3</v>
      </c>
      <c r="D34" s="65">
        <v>-2.0221975848580105E-2</v>
      </c>
      <c r="E34" s="65">
        <v>5.0071728572759232E-2</v>
      </c>
      <c r="F34" s="65">
        <v>-8.384627736444894E-2</v>
      </c>
      <c r="G34" s="65">
        <v>0</v>
      </c>
      <c r="H34" s="59">
        <f t="shared" si="5"/>
        <v>93.656657282615996</v>
      </c>
      <c r="I34" s="60">
        <f t="shared" si="5"/>
        <v>117.42906660220589</v>
      </c>
      <c r="J34" s="60">
        <f t="shared" si="5"/>
        <v>160.0445958674045</v>
      </c>
      <c r="K34" s="60">
        <f t="shared" si="5"/>
        <v>242.75999090650726</v>
      </c>
      <c r="L34" s="60">
        <f t="shared" si="5"/>
        <v>83.320623172797269</v>
      </c>
      <c r="M34" s="60">
        <f t="shared" si="5"/>
        <v>164.0019379844961</v>
      </c>
      <c r="N34" s="61">
        <f t="shared" si="1"/>
        <v>-0.12900622243226217</v>
      </c>
      <c r="O34" s="61">
        <f t="shared" si="2"/>
        <v>-0.10749257991701541</v>
      </c>
      <c r="P34" s="62">
        <f t="shared" si="3"/>
        <v>-0.17778628433835475</v>
      </c>
      <c r="Q34" s="57"/>
      <c r="R34" s="63">
        <v>9.9290800000000012E-2</v>
      </c>
      <c r="S34" s="67">
        <f t="shared" si="4"/>
        <v>-0.20650164248222169</v>
      </c>
      <c r="T34" s="67">
        <f t="shared" si="4"/>
        <v>-8.9147597099269116E-2</v>
      </c>
      <c r="U34" s="67">
        <f t="shared" si="4"/>
        <v>-0.10871807154993018</v>
      </c>
      <c r="V34" s="67">
        <f t="shared" si="4"/>
        <v>-4.4773477070162548E-2</v>
      </c>
      <c r="W34" s="67">
        <f t="shared" si="4"/>
        <v>-0.16659566091560929</v>
      </c>
      <c r="X34" s="67">
        <f t="shared" si="4"/>
        <v>-9.0322597078043354E-2</v>
      </c>
    </row>
    <row r="35" spans="1:24">
      <c r="A35" s="57">
        <v>1942</v>
      </c>
      <c r="B35" s="65">
        <v>0.19173762945914843</v>
      </c>
      <c r="C35" s="65">
        <v>3.4250000000000001E-3</v>
      </c>
      <c r="D35" s="65">
        <v>2.2948682374484164E-2</v>
      </c>
      <c r="E35" s="65">
        <v>5.1799010426587015E-2</v>
      </c>
      <c r="F35" s="65">
        <v>3.3330412175386348E-2</v>
      </c>
      <c r="G35" s="65">
        <v>0</v>
      </c>
      <c r="H35" s="59">
        <f t="shared" si="5"/>
        <v>111.61416273305268</v>
      </c>
      <c r="I35" s="60">
        <f t="shared" si="5"/>
        <v>117.83126115531844</v>
      </c>
      <c r="J35" s="60">
        <f t="shared" si="5"/>
        <v>163.71740846371824</v>
      </c>
      <c r="K35" s="60">
        <f t="shared" si="5"/>
        <v>255.33471820663161</v>
      </c>
      <c r="L35" s="60">
        <f t="shared" si="5"/>
        <v>86.097733885856655</v>
      </c>
      <c r="M35" s="60">
        <f t="shared" si="5"/>
        <v>164.0019379844961</v>
      </c>
      <c r="N35" s="61">
        <f t="shared" si="1"/>
        <v>0.18831262945914842</v>
      </c>
      <c r="O35" s="61">
        <f t="shared" si="2"/>
        <v>0.16878894708466427</v>
      </c>
      <c r="P35" s="62">
        <f t="shared" si="3"/>
        <v>0.13993861903256141</v>
      </c>
      <c r="Q35" s="57"/>
      <c r="R35" s="63">
        <v>9.0322600000000003E-2</v>
      </c>
      <c r="S35" s="67">
        <f t="shared" si="4"/>
        <v>9.3013782764063135E-2</v>
      </c>
      <c r="T35" s="67">
        <f t="shared" si="4"/>
        <v>-7.9698980833745825E-2</v>
      </c>
      <c r="U35" s="67">
        <f t="shared" si="4"/>
        <v>-6.1792645246017797E-2</v>
      </c>
      <c r="V35" s="67">
        <f t="shared" si="4"/>
        <v>-3.5332285667941665E-2</v>
      </c>
      <c r="W35" s="67">
        <f t="shared" si="4"/>
        <v>-5.2270940568060809E-2</v>
      </c>
      <c r="X35" s="67">
        <f t="shared" si="4"/>
        <v>-8.2840252967332773E-2</v>
      </c>
    </row>
    <row r="36" spans="1:24">
      <c r="A36" s="57">
        <v>1943</v>
      </c>
      <c r="B36" s="65">
        <v>0.25061310133060394</v>
      </c>
      <c r="C36" s="65">
        <v>3.8E-3</v>
      </c>
      <c r="D36" s="65">
        <v>2.4899999999999999E-2</v>
      </c>
      <c r="E36" s="65">
        <v>8.044670060105924E-2</v>
      </c>
      <c r="F36" s="65">
        <v>0.11446259964945993</v>
      </c>
      <c r="G36" s="65">
        <v>0</v>
      </c>
      <c r="H36" s="59">
        <f t="shared" si="5"/>
        <v>139.58613420800171</v>
      </c>
      <c r="I36" s="60">
        <f t="shared" si="5"/>
        <v>118.27901994770866</v>
      </c>
      <c r="J36" s="60">
        <f t="shared" si="5"/>
        <v>167.79397193446482</v>
      </c>
      <c r="K36" s="60">
        <f t="shared" si="5"/>
        <v>275.87555383525631</v>
      </c>
      <c r="L36" s="60">
        <f t="shared" si="5"/>
        <v>95.952704330359211</v>
      </c>
      <c r="M36" s="60">
        <f t="shared" si="5"/>
        <v>164.0019379844961</v>
      </c>
      <c r="N36" s="61">
        <f t="shared" si="1"/>
        <v>0.24681310133060394</v>
      </c>
      <c r="O36" s="61">
        <f t="shared" si="2"/>
        <v>0.22571310133060393</v>
      </c>
      <c r="P36" s="62">
        <f t="shared" si="3"/>
        <v>0.1701664007295447</v>
      </c>
      <c r="Q36" s="57"/>
      <c r="R36" s="63">
        <v>2.9585799999999999E-2</v>
      </c>
      <c r="S36" s="67">
        <f t="shared" si="4"/>
        <v>0.21467594185021199</v>
      </c>
      <c r="T36" s="67">
        <f t="shared" si="4"/>
        <v>-2.504482870684499E-2</v>
      </c>
      <c r="U36" s="67">
        <f t="shared" si="4"/>
        <v>-4.5511505694815213E-3</v>
      </c>
      <c r="V36" s="67">
        <f t="shared" si="4"/>
        <v>4.9399380412064042E-2</v>
      </c>
      <c r="W36" s="67">
        <f t="shared" si="4"/>
        <v>8.2437811059029587E-2</v>
      </c>
      <c r="X36" s="67">
        <f t="shared" si="4"/>
        <v>-2.873563330030382E-2</v>
      </c>
    </row>
    <row r="37" spans="1:24">
      <c r="A37" s="57">
        <v>1944</v>
      </c>
      <c r="B37" s="65">
        <v>0.19030676949443009</v>
      </c>
      <c r="C37" s="65">
        <v>3.8E-3</v>
      </c>
      <c r="D37" s="65">
        <v>2.5776111579070303E-2</v>
      </c>
      <c r="E37" s="65">
        <v>6.5658635882561697E-2</v>
      </c>
      <c r="F37" s="65">
        <v>0.16584227481419478</v>
      </c>
      <c r="G37" s="65">
        <v>0</v>
      </c>
      <c r="H37" s="59">
        <f t="shared" si="5"/>
        <v>166.15032047534245</v>
      </c>
      <c r="I37" s="60">
        <f t="shared" si="5"/>
        <v>118.72848022350996</v>
      </c>
      <c r="J37" s="60">
        <f t="shared" si="5"/>
        <v>172.11904807734297</v>
      </c>
      <c r="K37" s="60">
        <f t="shared" si="5"/>
        <v>293.98916637342546</v>
      </c>
      <c r="L37" s="60">
        <f t="shared" si="5"/>
        <v>111.86571909107982</v>
      </c>
      <c r="M37" s="60">
        <f t="shared" si="5"/>
        <v>164.0019379844961</v>
      </c>
      <c r="N37" s="61">
        <f t="shared" si="1"/>
        <v>0.1865067694944301</v>
      </c>
      <c r="O37" s="61">
        <f t="shared" si="2"/>
        <v>0.16453065791535978</v>
      </c>
      <c r="P37" s="62">
        <f t="shared" si="3"/>
        <v>0.1246481336118684</v>
      </c>
      <c r="Q37" s="57"/>
      <c r="R37" s="63">
        <v>2.2988499999999999E-2</v>
      </c>
      <c r="S37" s="67">
        <f t="shared" si="4"/>
        <v>0.16355830930106241</v>
      </c>
      <c r="T37" s="67">
        <f t="shared" si="4"/>
        <v>-1.8757297858187139E-2</v>
      </c>
      <c r="U37" s="67">
        <f t="shared" si="4"/>
        <v>2.7249686375458992E-3</v>
      </c>
      <c r="V37" s="67">
        <f t="shared" si="4"/>
        <v>4.171125665885933E-2</v>
      </c>
      <c r="W37" s="67">
        <f t="shared" si="4"/>
        <v>0.13964357841187325</v>
      </c>
      <c r="X37" s="67">
        <f t="shared" si="4"/>
        <v>-2.2471904620628758E-2</v>
      </c>
    </row>
    <row r="38" spans="1:24">
      <c r="A38" s="57">
        <v>1945</v>
      </c>
      <c r="B38" s="65">
        <v>0.35821084337349401</v>
      </c>
      <c r="C38" s="65">
        <v>3.8E-3</v>
      </c>
      <c r="D38" s="65">
        <v>3.8044173419237229E-2</v>
      </c>
      <c r="E38" s="65">
        <v>6.799865477817886E-2</v>
      </c>
      <c r="F38" s="65">
        <v>0.11777376471356127</v>
      </c>
      <c r="G38" s="65">
        <v>2.5406203840472763E-2</v>
      </c>
      <c r="H38" s="59">
        <f t="shared" ref="H38:M53" si="6">H37*(1+B38)</f>
        <v>225.66716689959119</v>
      </c>
      <c r="I38" s="60">
        <f t="shared" si="6"/>
        <v>119.1796484483593</v>
      </c>
      <c r="J38" s="60">
        <f t="shared" si="6"/>
        <v>178.66717499115143</v>
      </c>
      <c r="K38" s="60">
        <f t="shared" si="6"/>
        <v>313.98003420617658</v>
      </c>
      <c r="L38" s="60">
        <f t="shared" si="6"/>
        <v>125.04056597082599</v>
      </c>
      <c r="M38" s="60">
        <f t="shared" si="6"/>
        <v>168.16860465116278</v>
      </c>
      <c r="N38" s="61">
        <f t="shared" si="1"/>
        <v>0.35441084337349399</v>
      </c>
      <c r="O38" s="61">
        <f t="shared" si="2"/>
        <v>0.3201666699542568</v>
      </c>
      <c r="P38" s="62">
        <f t="shared" si="3"/>
        <v>0.29021218859531517</v>
      </c>
      <c r="Q38" s="57"/>
      <c r="R38" s="63">
        <v>2.24719E-2</v>
      </c>
      <c r="S38" s="67">
        <f t="shared" si="4"/>
        <v>0.32836006874467061</v>
      </c>
      <c r="T38" s="67">
        <f t="shared" si="4"/>
        <v>-1.8261528752037015E-2</v>
      </c>
      <c r="U38" s="67">
        <f t="shared" si="4"/>
        <v>1.5230025802408065E-2</v>
      </c>
      <c r="V38" s="67">
        <f t="shared" si="4"/>
        <v>4.4526167201444755E-2</v>
      </c>
      <c r="W38" s="67">
        <f t="shared" si="4"/>
        <v>9.320731915817082E-2</v>
      </c>
      <c r="X38" s="67">
        <f t="shared" si="4"/>
        <v>2.8698136745595182E-3</v>
      </c>
    </row>
    <row r="39" spans="1:24">
      <c r="A39" s="57">
        <v>1946</v>
      </c>
      <c r="B39" s="65">
        <v>-8.4291474654377807E-2</v>
      </c>
      <c r="C39" s="65">
        <v>3.8E-3</v>
      </c>
      <c r="D39" s="65">
        <v>3.1283745375695685E-2</v>
      </c>
      <c r="E39" s="65">
        <v>2.5080329773195936E-2</v>
      </c>
      <c r="F39" s="65">
        <v>0.24101685677580131</v>
      </c>
      <c r="G39" s="65">
        <v>0</v>
      </c>
      <c r="H39" s="59">
        <f t="shared" si="6"/>
        <v>206.64534862054904</v>
      </c>
      <c r="I39" s="60">
        <f t="shared" si="6"/>
        <v>119.63253111246307</v>
      </c>
      <c r="J39" s="60">
        <f t="shared" si="6"/>
        <v>184.25655340056949</v>
      </c>
      <c r="K39" s="60">
        <f t="shared" si="6"/>
        <v>321.85475700626682</v>
      </c>
      <c r="L39" s="60">
        <f t="shared" si="6"/>
        <v>155.17745015058171</v>
      </c>
      <c r="M39" s="60">
        <f t="shared" si="6"/>
        <v>168.16860465116278</v>
      </c>
      <c r="N39" s="61">
        <f t="shared" si="1"/>
        <v>-8.8091474654377805E-2</v>
      </c>
      <c r="O39" s="61">
        <f t="shared" si="2"/>
        <v>-0.11557522003007349</v>
      </c>
      <c r="P39" s="62">
        <f t="shared" si="3"/>
        <v>-0.10937180442757374</v>
      </c>
      <c r="Q39" s="57"/>
      <c r="R39" s="63">
        <v>0.1813187</v>
      </c>
      <c r="S39" s="67">
        <f t="shared" si="4"/>
        <v>-0.22484209777969133</v>
      </c>
      <c r="T39" s="67">
        <f t="shared" si="4"/>
        <v>-0.15027164134454152</v>
      </c>
      <c r="U39" s="67">
        <f t="shared" si="4"/>
        <v>-0.12700633167349695</v>
      </c>
      <c r="V39" s="67">
        <f t="shared" si="4"/>
        <v>-0.13225759503070944</v>
      </c>
      <c r="W39" s="67">
        <f t="shared" si="4"/>
        <v>5.0535183076168444E-2</v>
      </c>
      <c r="X39" s="67">
        <f t="shared" si="4"/>
        <v>-0.15348838547971855</v>
      </c>
    </row>
    <row r="40" spans="1:24">
      <c r="A40" s="57">
        <v>1947</v>
      </c>
      <c r="B40" s="65">
        <v>5.1999999999999998E-2</v>
      </c>
      <c r="C40" s="65">
        <v>6.0083333333333334E-3</v>
      </c>
      <c r="D40" s="65">
        <v>9.1969680628322358E-3</v>
      </c>
      <c r="E40" s="65">
        <v>2.6212022665691934E-3</v>
      </c>
      <c r="F40" s="65">
        <v>0.2126388104648973</v>
      </c>
      <c r="G40" s="65">
        <v>0</v>
      </c>
      <c r="H40" s="59">
        <f t="shared" si="6"/>
        <v>217.3909067488176</v>
      </c>
      <c r="I40" s="60">
        <f t="shared" si="6"/>
        <v>120.35132323689713</v>
      </c>
      <c r="J40" s="60">
        <f t="shared" si="6"/>
        <v>185.95115503756207</v>
      </c>
      <c r="K40" s="60">
        <f t="shared" si="6"/>
        <v>322.69840342483775</v>
      </c>
      <c r="L40" s="60">
        <f t="shared" si="6"/>
        <v>188.1741985615773</v>
      </c>
      <c r="M40" s="60">
        <f t="shared" si="6"/>
        <v>168.16860465116278</v>
      </c>
      <c r="N40" s="61">
        <f t="shared" si="1"/>
        <v>4.5991666666666667E-2</v>
      </c>
      <c r="O40" s="61">
        <f t="shared" si="2"/>
        <v>4.2803031937167765E-2</v>
      </c>
      <c r="P40" s="62">
        <f t="shared" si="3"/>
        <v>4.9378797733430804E-2</v>
      </c>
      <c r="Q40" s="57"/>
      <c r="R40" s="63">
        <v>8.8372100000000009E-2</v>
      </c>
      <c r="S40" s="67">
        <f t="shared" si="4"/>
        <v>-3.3418809614836564E-2</v>
      </c>
      <c r="T40" s="67">
        <f t="shared" si="4"/>
        <v>-7.5676109913757061E-2</v>
      </c>
      <c r="U40" s="67">
        <f t="shared" si="4"/>
        <v>-7.2746381441758379E-2</v>
      </c>
      <c r="V40" s="67">
        <f t="shared" si="4"/>
        <v>-7.8788217497885782E-2</v>
      </c>
      <c r="W40" s="67">
        <f t="shared" si="4"/>
        <v>0.11417667768670059</v>
      </c>
      <c r="X40" s="67">
        <f t="shared" si="4"/>
        <v>-8.1196587086346583E-2</v>
      </c>
    </row>
    <row r="41" spans="1:24">
      <c r="A41" s="57">
        <v>1948</v>
      </c>
      <c r="B41" s="65">
        <v>5.7045751633986834E-2</v>
      </c>
      <c r="C41" s="65">
        <v>1.0449999999999999E-2</v>
      </c>
      <c r="D41" s="65">
        <v>1.9510369413175046E-2</v>
      </c>
      <c r="E41" s="65">
        <v>3.4369595605103213E-2</v>
      </c>
      <c r="F41" s="65">
        <v>2.0585153855108507E-2</v>
      </c>
      <c r="G41" s="65">
        <v>0</v>
      </c>
      <c r="H41" s="59">
        <f t="shared" si="6"/>
        <v>229.79213442269784</v>
      </c>
      <c r="I41" s="60">
        <f t="shared" si="6"/>
        <v>121.60899456472271</v>
      </c>
      <c r="J41" s="60">
        <f t="shared" si="6"/>
        <v>189.57913076515149</v>
      </c>
      <c r="K41" s="60">
        <f t="shared" si="6"/>
        <v>333.78941705296182</v>
      </c>
      <c r="L41" s="60">
        <f t="shared" si="6"/>
        <v>192.04779339052911</v>
      </c>
      <c r="M41" s="60">
        <f t="shared" si="6"/>
        <v>168.16860465116278</v>
      </c>
      <c r="N41" s="61">
        <f t="shared" si="1"/>
        <v>4.6595751633986833E-2</v>
      </c>
      <c r="O41" s="61">
        <f t="shared" si="2"/>
        <v>3.7535382220811792E-2</v>
      </c>
      <c r="P41" s="62">
        <f t="shared" si="3"/>
        <v>2.2676156028883621E-2</v>
      </c>
      <c r="Q41" s="57"/>
      <c r="R41" s="63">
        <v>2.7338700000000001E-2</v>
      </c>
      <c r="S41" s="67">
        <f t="shared" si="4"/>
        <v>2.8916511793030564E-2</v>
      </c>
      <c r="T41" s="67">
        <f t="shared" si="4"/>
        <v>-1.6439271683233558E-2</v>
      </c>
      <c r="U41" s="67">
        <f t="shared" si="4"/>
        <v>-7.620009434887387E-3</v>
      </c>
      <c r="V41" s="67">
        <f t="shared" si="4"/>
        <v>6.8437951428317323E-3</v>
      </c>
      <c r="W41" s="67">
        <f t="shared" si="4"/>
        <v>-6.5738262803606284E-3</v>
      </c>
      <c r="X41" s="67">
        <f t="shared" si="4"/>
        <v>-2.6611184802052157E-2</v>
      </c>
    </row>
    <row r="42" spans="1:24">
      <c r="A42" s="57">
        <v>1949</v>
      </c>
      <c r="B42" s="65">
        <v>0.18303223684210526</v>
      </c>
      <c r="C42" s="65">
        <v>1.115E-2</v>
      </c>
      <c r="D42" s="65">
        <v>4.6634851827973139E-2</v>
      </c>
      <c r="E42" s="65">
        <v>5.3773011179658936E-2</v>
      </c>
      <c r="F42" s="65">
        <v>8.9348516244314169E-4</v>
      </c>
      <c r="G42" s="65">
        <v>-8.7006626332469028E-2</v>
      </c>
      <c r="H42" s="59">
        <f t="shared" si="6"/>
        <v>271.85150279480598</v>
      </c>
      <c r="I42" s="60">
        <f t="shared" si="6"/>
        <v>122.96493485411936</v>
      </c>
      <c r="J42" s="60">
        <f t="shared" si="6"/>
        <v>198.42012543806027</v>
      </c>
      <c r="K42" s="60">
        <f t="shared" si="6"/>
        <v>351.73827910780261</v>
      </c>
      <c r="L42" s="60">
        <f t="shared" si="6"/>
        <v>192.2193852444035</v>
      </c>
      <c r="M42" s="60">
        <f t="shared" si="6"/>
        <v>153.53682170542635</v>
      </c>
      <c r="N42" s="61">
        <f t="shared" si="1"/>
        <v>0.17188223684210527</v>
      </c>
      <c r="O42" s="61">
        <f t="shared" si="2"/>
        <v>0.13639738501413212</v>
      </c>
      <c r="P42" s="62">
        <f t="shared" si="3"/>
        <v>0.12925922566244633</v>
      </c>
      <c r="Q42" s="57"/>
      <c r="R42" s="63">
        <v>-1.8295200000000001E-2</v>
      </c>
      <c r="S42" s="67">
        <f t="shared" si="4"/>
        <v>0.20507940558312976</v>
      </c>
      <c r="T42" s="67">
        <f t="shared" si="4"/>
        <v>2.9993945226711727E-2</v>
      </c>
      <c r="U42" s="67">
        <f t="shared" si="4"/>
        <v>6.614009815167754E-2</v>
      </c>
      <c r="V42" s="67">
        <f t="shared" si="4"/>
        <v>7.3411285326973053E-2</v>
      </c>
      <c r="W42" s="67">
        <f t="shared" si="4"/>
        <v>1.954628841831374E-2</v>
      </c>
      <c r="X42" s="67">
        <f t="shared" si="4"/>
        <v>-6.9991942926701634E-2</v>
      </c>
    </row>
    <row r="43" spans="1:24">
      <c r="A43" s="57">
        <v>1950</v>
      </c>
      <c r="B43" s="65">
        <v>0.30805539011316263</v>
      </c>
      <c r="C43" s="65">
        <v>1.2033333333333333E-2</v>
      </c>
      <c r="D43" s="65">
        <v>4.2959574171096103E-3</v>
      </c>
      <c r="E43" s="65">
        <v>4.2388173056720914E-2</v>
      </c>
      <c r="F43" s="65">
        <v>3.6403925292814332E-2</v>
      </c>
      <c r="G43" s="65">
        <v>9.5613758283370043E-2</v>
      </c>
      <c r="H43" s="59">
        <f t="shared" si="6"/>
        <v>355.59682354110947</v>
      </c>
      <c r="I43" s="60">
        <f t="shared" si="6"/>
        <v>124.4446129035306</v>
      </c>
      <c r="J43" s="60">
        <f t="shared" si="6"/>
        <v>199.2725298476397</v>
      </c>
      <c r="K43" s="60">
        <f t="shared" si="6"/>
        <v>366.64782215329734</v>
      </c>
      <c r="L43" s="60">
        <f t="shared" si="6"/>
        <v>199.21692538467147</v>
      </c>
      <c r="M43" s="60">
        <f t="shared" si="6"/>
        <v>168.21705426356587</v>
      </c>
      <c r="N43" s="61">
        <f t="shared" si="1"/>
        <v>0.29602205677982929</v>
      </c>
      <c r="O43" s="61">
        <f t="shared" si="2"/>
        <v>0.30375943269605304</v>
      </c>
      <c r="P43" s="62">
        <f t="shared" si="3"/>
        <v>0.2656672170564417</v>
      </c>
      <c r="Q43" s="57"/>
      <c r="R43" s="63">
        <v>5.8026299999999996E-2</v>
      </c>
      <c r="S43" s="67">
        <f t="shared" si="4"/>
        <v>0.2363165170026138</v>
      </c>
      <c r="T43" s="67">
        <f t="shared" si="4"/>
        <v>-4.3470532506296622E-2</v>
      </c>
      <c r="U43" s="67">
        <f t="shared" si="4"/>
        <v>-5.0783560468100397E-2</v>
      </c>
      <c r="V43" s="67">
        <f t="shared" si="4"/>
        <v>-1.4780470904437126E-2</v>
      </c>
      <c r="W43" s="67">
        <f t="shared" si="4"/>
        <v>-2.0436519117895013E-2</v>
      </c>
      <c r="X43" s="67">
        <f t="shared" si="4"/>
        <v>3.5526015074833106E-2</v>
      </c>
    </row>
    <row r="44" spans="1:24">
      <c r="A44" s="57">
        <v>1951</v>
      </c>
      <c r="B44" s="65">
        <v>0.23678463044542339</v>
      </c>
      <c r="C44" s="65">
        <v>1.5175000000000001E-2</v>
      </c>
      <c r="D44" s="65">
        <v>-2.9531392208319886E-3</v>
      </c>
      <c r="E44" s="65">
        <v>-1.9098091301369691E-3</v>
      </c>
      <c r="F44" s="65">
        <v>6.0476481368356705E-2</v>
      </c>
      <c r="G44" s="65">
        <v>0</v>
      </c>
      <c r="H44" s="59">
        <f t="shared" si="6"/>
        <v>439.7966859908575</v>
      </c>
      <c r="I44" s="60">
        <f t="shared" si="6"/>
        <v>126.33305990434167</v>
      </c>
      <c r="J44" s="60">
        <f t="shared" si="6"/>
        <v>198.68405032411223</v>
      </c>
      <c r="K44" s="60">
        <f t="shared" si="6"/>
        <v>365.94759479500414</v>
      </c>
      <c r="L44" s="60">
        <f t="shared" si="6"/>
        <v>211.26486406095887</v>
      </c>
      <c r="M44" s="60">
        <f t="shared" si="6"/>
        <v>168.21705426356587</v>
      </c>
      <c r="N44" s="61">
        <f t="shared" si="1"/>
        <v>0.22160963044542339</v>
      </c>
      <c r="O44" s="61">
        <f t="shared" si="2"/>
        <v>0.23973776966625537</v>
      </c>
      <c r="P44" s="62">
        <f t="shared" si="3"/>
        <v>0.23869443957556036</v>
      </c>
      <c r="Q44" s="57"/>
      <c r="R44" s="63">
        <v>5.9647699999999998E-2</v>
      </c>
      <c r="S44" s="67">
        <f t="shared" si="4"/>
        <v>0.16716587073743794</v>
      </c>
      <c r="T44" s="67">
        <f t="shared" si="4"/>
        <v>-4.196932622040328E-2</v>
      </c>
      <c r="U44" s="67">
        <f t="shared" si="4"/>
        <v>-5.9077030243949835E-2</v>
      </c>
      <c r="V44" s="67">
        <f t="shared" si="4"/>
        <v>-5.8092429333010287E-2</v>
      </c>
      <c r="W44" s="67">
        <f t="shared" si="4"/>
        <v>7.8212916269881916E-4</v>
      </c>
      <c r="X44" s="67">
        <f t="shared" si="4"/>
        <v>-5.6290123594851305E-2</v>
      </c>
    </row>
    <row r="45" spans="1:24">
      <c r="A45" s="57">
        <v>1952</v>
      </c>
      <c r="B45" s="65">
        <v>0.18150988641144306</v>
      </c>
      <c r="C45" s="65">
        <v>1.7225000000000001E-2</v>
      </c>
      <c r="D45" s="65">
        <v>2.2679961918305656E-2</v>
      </c>
      <c r="E45" s="65">
        <v>4.4412415047400768E-2</v>
      </c>
      <c r="F45" s="65">
        <v>4.4066820276497776E-2</v>
      </c>
      <c r="G45" s="65">
        <v>-3.4562211981565838E-3</v>
      </c>
      <c r="H45" s="59">
        <f t="shared" si="6"/>
        <v>519.62413250918712</v>
      </c>
      <c r="I45" s="60">
        <f t="shared" si="6"/>
        <v>128.50914686119395</v>
      </c>
      <c r="J45" s="60">
        <f t="shared" si="6"/>
        <v>203.19019701923781</v>
      </c>
      <c r="K45" s="60">
        <f t="shared" si="6"/>
        <v>382.2002112606379</v>
      </c>
      <c r="L45" s="60">
        <f t="shared" si="6"/>
        <v>220.57463485627187</v>
      </c>
      <c r="M45" s="60">
        <f t="shared" si="6"/>
        <v>167.63565891472868</v>
      </c>
      <c r="N45" s="61">
        <f t="shared" si="1"/>
        <v>0.16428488641144307</v>
      </c>
      <c r="O45" s="61">
        <f t="shared" si="2"/>
        <v>0.1588299244931374</v>
      </c>
      <c r="P45" s="62">
        <f t="shared" si="3"/>
        <v>0.13709747136404229</v>
      </c>
      <c r="Q45" s="57"/>
      <c r="R45" s="63">
        <v>9.0668999999999993E-3</v>
      </c>
      <c r="S45" s="67">
        <f t="shared" si="4"/>
        <v>0.17089351202724323</v>
      </c>
      <c r="T45" s="67">
        <f t="shared" si="4"/>
        <v>8.0847959634786637E-3</v>
      </c>
      <c r="U45" s="67">
        <f t="shared" si="4"/>
        <v>1.3490742703289094E-2</v>
      </c>
      <c r="V45" s="67">
        <f t="shared" si="4"/>
        <v>3.5027920395962475E-2</v>
      </c>
      <c r="W45" s="67">
        <f t="shared" si="4"/>
        <v>3.4685430942683393E-2</v>
      </c>
      <c r="X45" s="67">
        <f t="shared" si="4"/>
        <v>-1.2410595569190441E-2</v>
      </c>
    </row>
    <row r="46" spans="1:24">
      <c r="A46" s="57">
        <v>1953</v>
      </c>
      <c r="B46" s="65">
        <v>-1.2082047421904465E-2</v>
      </c>
      <c r="C46" s="65">
        <v>1.8908333333333333E-2</v>
      </c>
      <c r="D46" s="65">
        <v>4.1438402589088513E-2</v>
      </c>
      <c r="E46" s="65">
        <v>1.6201123818443276E-2</v>
      </c>
      <c r="F46" s="65">
        <v>0.11516568544995809</v>
      </c>
      <c r="G46" s="65">
        <v>6.9364161849712058E-3</v>
      </c>
      <c r="H46" s="59">
        <f t="shared" si="6"/>
        <v>513.34600909864514</v>
      </c>
      <c r="I46" s="60">
        <f t="shared" si="6"/>
        <v>130.93904064642769</v>
      </c>
      <c r="J46" s="60">
        <f t="shared" si="6"/>
        <v>211.61007420547722</v>
      </c>
      <c r="K46" s="60">
        <f t="shared" si="6"/>
        <v>388.39228420670662</v>
      </c>
      <c r="L46" s="60">
        <f t="shared" si="6"/>
        <v>245.97726387236864</v>
      </c>
      <c r="M46" s="60">
        <f t="shared" si="6"/>
        <v>168.79844961240312</v>
      </c>
      <c r="N46" s="61">
        <f t="shared" si="1"/>
        <v>-3.0990380755237797E-2</v>
      </c>
      <c r="O46" s="61">
        <f t="shared" si="2"/>
        <v>-5.3520450010992981E-2</v>
      </c>
      <c r="P46" s="62">
        <f t="shared" si="3"/>
        <v>-2.8283171240347741E-2</v>
      </c>
      <c r="Q46" s="57"/>
      <c r="R46" s="63">
        <v>5.9902999999999996E-3</v>
      </c>
      <c r="S46" s="67">
        <f t="shared" si="4"/>
        <v>-1.7964733280136369E-2</v>
      </c>
      <c r="T46" s="67">
        <f t="shared" si="4"/>
        <v>1.2841111224763724E-2</v>
      </c>
      <c r="U46" s="67">
        <f t="shared" si="4"/>
        <v>3.5237022254676509E-2</v>
      </c>
      <c r="V46" s="67">
        <f t="shared" si="4"/>
        <v>1.0150022140813286E-2</v>
      </c>
      <c r="W46" s="67">
        <f t="shared" si="4"/>
        <v>0.10852528642667658</v>
      </c>
      <c r="X46" s="67">
        <f t="shared" si="4"/>
        <v>9.4048241317179482E-4</v>
      </c>
    </row>
    <row r="47" spans="1:24">
      <c r="A47" s="57">
        <v>1954</v>
      </c>
      <c r="B47" s="65">
        <v>0.52563321241434902</v>
      </c>
      <c r="C47" s="65">
        <v>9.3752000000000002E-3</v>
      </c>
      <c r="D47" s="65">
        <v>3.2898034558095555E-2</v>
      </c>
      <c r="E47" s="65">
        <v>6.1579051817707856E-2</v>
      </c>
      <c r="F47" s="65">
        <v>9.2272202998846531E-3</v>
      </c>
      <c r="G47" s="65">
        <v>5.7405281285876075E-3</v>
      </c>
      <c r="H47" s="59">
        <f t="shared" si="6"/>
        <v>783.17772094125166</v>
      </c>
      <c r="I47" s="60">
        <f t="shared" si="6"/>
        <v>132.16662034029608</v>
      </c>
      <c r="J47" s="60">
        <f t="shared" si="6"/>
        <v>218.57162973953018</v>
      </c>
      <c r="K47" s="60">
        <f t="shared" si="6"/>
        <v>412.30911280146938</v>
      </c>
      <c r="L47" s="60">
        <f t="shared" si="6"/>
        <v>248.24695027488184</v>
      </c>
      <c r="M47" s="60">
        <f t="shared" si="6"/>
        <v>169.76744186046508</v>
      </c>
      <c r="N47" s="61">
        <f t="shared" si="1"/>
        <v>0.51625801241434899</v>
      </c>
      <c r="O47" s="61">
        <f t="shared" si="2"/>
        <v>0.49273517785625348</v>
      </c>
      <c r="P47" s="62">
        <f t="shared" si="3"/>
        <v>0.46405416059664117</v>
      </c>
      <c r="Q47" s="57"/>
      <c r="R47" s="63">
        <v>-3.7215999999999998E-3</v>
      </c>
      <c r="S47" s="67">
        <f t="shared" si="4"/>
        <v>0.53133221839834022</v>
      </c>
      <c r="T47" s="67">
        <f t="shared" si="4"/>
        <v>1.3145723123175301E-2</v>
      </c>
      <c r="U47" s="67">
        <f t="shared" si="4"/>
        <v>3.6756427277852888E-2</v>
      </c>
      <c r="V47" s="67">
        <f t="shared" si="4"/>
        <v>6.5544582536074092E-2</v>
      </c>
      <c r="W47" s="67">
        <f t="shared" si="4"/>
        <v>1.2997190644587597E-2</v>
      </c>
      <c r="X47" s="67">
        <f t="shared" si="4"/>
        <v>9.4974739275563991E-3</v>
      </c>
    </row>
    <row r="48" spans="1:24">
      <c r="A48" s="57">
        <v>1955</v>
      </c>
      <c r="B48" s="65">
        <v>0.32597331851028349</v>
      </c>
      <c r="C48" s="65">
        <v>1.7243426294820716E-2</v>
      </c>
      <c r="D48" s="65">
        <v>-1.3364391288618781E-2</v>
      </c>
      <c r="E48" s="65">
        <v>2.044690004344954E-2</v>
      </c>
      <c r="F48" s="65">
        <v>0</v>
      </c>
      <c r="G48" s="65">
        <v>-2.8538812785383616E-4</v>
      </c>
      <c r="H48" s="59">
        <f t="shared" si="6"/>
        <v>1038.4727616197922</v>
      </c>
      <c r="I48" s="60">
        <f t="shared" si="6"/>
        <v>134.44562571676951</v>
      </c>
      <c r="J48" s="60">
        <f t="shared" si="6"/>
        <v>215.65055295509998</v>
      </c>
      <c r="K48" s="60">
        <f t="shared" si="6"/>
        <v>420.73955601792437</v>
      </c>
      <c r="L48" s="60">
        <f t="shared" si="6"/>
        <v>248.24695027488184</v>
      </c>
      <c r="M48" s="60">
        <f t="shared" si="6"/>
        <v>169.71899224806199</v>
      </c>
      <c r="N48" s="61">
        <f t="shared" si="1"/>
        <v>0.30872989221546276</v>
      </c>
      <c r="O48" s="61">
        <f t="shared" si="2"/>
        <v>0.33933770979890227</v>
      </c>
      <c r="P48" s="62">
        <f t="shared" si="3"/>
        <v>0.30552641846683393</v>
      </c>
      <c r="Q48" s="57"/>
      <c r="R48" s="63">
        <v>3.7355000000000001E-3</v>
      </c>
      <c r="S48" s="67">
        <f t="shared" si="4"/>
        <v>0.32103857889880727</v>
      </c>
      <c r="T48" s="67">
        <f t="shared" si="4"/>
        <v>1.3457655223732434E-2</v>
      </c>
      <c r="U48" s="67">
        <f t="shared" si="4"/>
        <v>-1.7036252367898408E-2</v>
      </c>
      <c r="V48" s="67">
        <f t="shared" si="4"/>
        <v>1.6649206930958949E-2</v>
      </c>
      <c r="W48" s="67">
        <f t="shared" si="4"/>
        <v>-3.7215979707800884E-3</v>
      </c>
      <c r="X48" s="67">
        <f t="shared" si="4"/>
        <v>-4.0059239987563222E-3</v>
      </c>
    </row>
    <row r="49" spans="1:24">
      <c r="A49" s="57">
        <v>1956</v>
      </c>
      <c r="B49" s="65">
        <v>7.4395118733509347E-2</v>
      </c>
      <c r="C49" s="65">
        <v>2.6213888888888887E-2</v>
      </c>
      <c r="D49" s="65">
        <v>-2.2557738173154165E-2</v>
      </c>
      <c r="E49" s="65">
        <v>-2.3526541979620903E-2</v>
      </c>
      <c r="F49" s="65">
        <v>9.1428571428571193E-3</v>
      </c>
      <c r="G49" s="65">
        <v>-1.1418783899515006E-3</v>
      </c>
      <c r="H49" s="59">
        <f t="shared" si="6"/>
        <v>1115.7300660220119</v>
      </c>
      <c r="I49" s="60">
        <f t="shared" si="6"/>
        <v>137.96996841090606</v>
      </c>
      <c r="J49" s="60">
        <f t="shared" si="6"/>
        <v>210.78596424464291</v>
      </c>
      <c r="K49" s="60">
        <f t="shared" si="6"/>
        <v>410.84100919078162</v>
      </c>
      <c r="L49" s="60">
        <f t="shared" si="6"/>
        <v>250.51663667739504</v>
      </c>
      <c r="M49" s="60">
        <f t="shared" si="6"/>
        <v>169.52519379844958</v>
      </c>
      <c r="N49" s="61">
        <f t="shared" si="1"/>
        <v>4.8181229844620463E-2</v>
      </c>
      <c r="O49" s="61">
        <f t="shared" si="2"/>
        <v>9.6952856906663512E-2</v>
      </c>
      <c r="P49" s="62">
        <f t="shared" si="3"/>
        <v>9.7921660713130243E-2</v>
      </c>
      <c r="Q49" s="57"/>
      <c r="R49" s="63">
        <v>2.8284299999999998E-2</v>
      </c>
      <c r="S49" s="67">
        <f t="shared" si="4"/>
        <v>4.4842480560589371E-2</v>
      </c>
      <c r="T49" s="67">
        <f t="shared" si="4"/>
        <v>-2.0134617547996614E-3</v>
      </c>
      <c r="U49" s="67">
        <f t="shared" si="4"/>
        <v>-4.9443561642586675E-2</v>
      </c>
      <c r="V49" s="67">
        <f t="shared" si="4"/>
        <v>-5.038571723755858E-2</v>
      </c>
      <c r="W49" s="67">
        <f t="shared" si="4"/>
        <v>-1.8614932521232475E-2</v>
      </c>
      <c r="X49" s="67">
        <f t="shared" si="4"/>
        <v>-2.861677299745935E-2</v>
      </c>
    </row>
    <row r="50" spans="1:24">
      <c r="A50" s="57">
        <v>1957</v>
      </c>
      <c r="B50" s="65">
        <v>-0.1045736018855796</v>
      </c>
      <c r="C50" s="65">
        <v>3.2245669291338583E-2</v>
      </c>
      <c r="D50" s="65">
        <v>6.7970128466249904E-2</v>
      </c>
      <c r="E50" s="65">
        <v>-7.1892844025423647E-3</v>
      </c>
      <c r="F50" s="65">
        <v>2.7180067950169917E-2</v>
      </c>
      <c r="G50" s="65">
        <v>-1.1431837667904565E-3</v>
      </c>
      <c r="H50" s="59">
        <f t="shared" si="6"/>
        <v>999.05415428605454</v>
      </c>
      <c r="I50" s="60">
        <f t="shared" si="6"/>
        <v>142.41890238442059</v>
      </c>
      <c r="J50" s="60">
        <f t="shared" si="6"/>
        <v>225.11311331323367</v>
      </c>
      <c r="K50" s="60">
        <f t="shared" si="6"/>
        <v>407.88735633148156</v>
      </c>
      <c r="L50" s="60">
        <f t="shared" si="6"/>
        <v>257.32569588493465</v>
      </c>
      <c r="M50" s="60">
        <f t="shared" si="6"/>
        <v>169.33139534883719</v>
      </c>
      <c r="N50" s="61">
        <f t="shared" si="1"/>
        <v>-0.13681927117691817</v>
      </c>
      <c r="O50" s="61">
        <f t="shared" si="2"/>
        <v>-0.17254373035182952</v>
      </c>
      <c r="P50" s="62">
        <f t="shared" si="3"/>
        <v>-9.7384317483037233E-2</v>
      </c>
      <c r="Q50" s="57"/>
      <c r="R50" s="63">
        <v>3.0401699999999997E-2</v>
      </c>
      <c r="S50" s="67">
        <f t="shared" si="4"/>
        <v>-0.13099289518406243</v>
      </c>
      <c r="T50" s="67">
        <f t="shared" si="4"/>
        <v>1.7895635181295333E-3</v>
      </c>
      <c r="U50" s="67">
        <f t="shared" si="4"/>
        <v>3.6459983001047025E-2</v>
      </c>
      <c r="V50" s="67">
        <f t="shared" si="4"/>
        <v>-3.648187343105358E-2</v>
      </c>
      <c r="W50" s="67">
        <f t="shared" si="4"/>
        <v>-3.126578740922259E-3</v>
      </c>
      <c r="X50" s="67">
        <f t="shared" si="4"/>
        <v>-3.0614161221580449E-2</v>
      </c>
    </row>
    <row r="51" spans="1:24">
      <c r="A51" s="57">
        <v>1958</v>
      </c>
      <c r="B51" s="65">
        <v>0.43719954988747184</v>
      </c>
      <c r="C51" s="65">
        <v>1.7665461847389558E-2</v>
      </c>
      <c r="D51" s="65">
        <v>-2.0990181755274694E-2</v>
      </c>
      <c r="E51" s="65">
        <v>6.4300928973360261E-2</v>
      </c>
      <c r="F51" s="65">
        <v>6.6152149944873617E-3</v>
      </c>
      <c r="G51" s="65">
        <v>4.2918454935620964E-3</v>
      </c>
      <c r="H51" s="59">
        <f t="shared" si="6"/>
        <v>1435.8401808531264</v>
      </c>
      <c r="I51" s="60">
        <f t="shared" si="6"/>
        <v>144.93479807083966</v>
      </c>
      <c r="J51" s="60">
        <f t="shared" si="6"/>
        <v>220.38794814929315</v>
      </c>
      <c r="K51" s="60">
        <f t="shared" si="6"/>
        <v>434.11489226008382</v>
      </c>
      <c r="L51" s="60">
        <f t="shared" si="6"/>
        <v>259.02796068681954</v>
      </c>
      <c r="M51" s="60">
        <f t="shared" si="6"/>
        <v>170.05813953488368</v>
      </c>
      <c r="N51" s="61">
        <f t="shared" si="1"/>
        <v>0.4195340880400823</v>
      </c>
      <c r="O51" s="61">
        <f t="shared" si="2"/>
        <v>0.45818973164274651</v>
      </c>
      <c r="P51" s="62">
        <f t="shared" si="3"/>
        <v>0.37289862091411158</v>
      </c>
      <c r="Q51" s="57"/>
      <c r="R51" s="63">
        <v>1.7562299999999999E-2</v>
      </c>
      <c r="S51" s="67">
        <f t="shared" si="4"/>
        <v>0.4123946513028951</v>
      </c>
      <c r="T51" s="67">
        <f t="shared" si="4"/>
        <v>1.0138135757342681E-4</v>
      </c>
      <c r="U51" s="67">
        <f t="shared" si="4"/>
        <v>-3.788709718832417E-2</v>
      </c>
      <c r="V51" s="67">
        <f t="shared" si="4"/>
        <v>4.5931958144833196E-2</v>
      </c>
      <c r="W51" s="67">
        <f t="shared" si="4"/>
        <v>-1.0758147196994861E-2</v>
      </c>
      <c r="X51" s="67">
        <f t="shared" si="4"/>
        <v>-1.3041417224712415E-2</v>
      </c>
    </row>
    <row r="52" spans="1:24">
      <c r="A52" s="57">
        <v>1959</v>
      </c>
      <c r="B52" s="65">
        <v>0.12056457163557326</v>
      </c>
      <c r="C52" s="65">
        <v>3.3860159362549803E-2</v>
      </c>
      <c r="D52" s="65">
        <v>-2.6466312591385065E-2</v>
      </c>
      <c r="E52" s="65">
        <v>1.5743430895022732E-2</v>
      </c>
      <c r="F52" s="65">
        <v>1.0952902519167917E-3</v>
      </c>
      <c r="G52" s="65">
        <v>0</v>
      </c>
      <c r="H52" s="59">
        <f t="shared" si="6"/>
        <v>1608.9516371948275</v>
      </c>
      <c r="I52" s="60">
        <f t="shared" si="6"/>
        <v>149.84231343069726</v>
      </c>
      <c r="J52" s="60">
        <f t="shared" si="6"/>
        <v>214.55509182219998</v>
      </c>
      <c r="K52" s="60">
        <f t="shared" si="6"/>
        <v>440.94935006688075</v>
      </c>
      <c r="L52" s="60">
        <f t="shared" si="6"/>
        <v>259.31167148713371</v>
      </c>
      <c r="M52" s="60">
        <f t="shared" si="6"/>
        <v>170.05813953488368</v>
      </c>
      <c r="N52" s="61">
        <f t="shared" si="1"/>
        <v>8.6704412273023446E-2</v>
      </c>
      <c r="O52" s="61">
        <f t="shared" si="2"/>
        <v>0.14703088422695831</v>
      </c>
      <c r="P52" s="62">
        <f t="shared" si="3"/>
        <v>0.10482114074055052</v>
      </c>
      <c r="Q52" s="57"/>
      <c r="R52" s="63">
        <v>1.51881E-2</v>
      </c>
      <c r="S52" s="67">
        <f t="shared" si="4"/>
        <v>0.10379994765066014</v>
      </c>
      <c r="T52" s="67">
        <f t="shared" si="4"/>
        <v>1.8392709058104417E-2</v>
      </c>
      <c r="U52" s="67">
        <f t="shared" si="4"/>
        <v>-4.1031226224366835E-2</v>
      </c>
      <c r="V52" s="67">
        <f t="shared" si="4"/>
        <v>5.4702266015804746E-4</v>
      </c>
      <c r="W52" s="67">
        <f t="shared" si="4"/>
        <v>-1.3881969014494233E-2</v>
      </c>
      <c r="X52" s="67">
        <f t="shared" si="4"/>
        <v>-1.4960872768307709E-2</v>
      </c>
    </row>
    <row r="53" spans="1:24">
      <c r="A53" s="57">
        <v>1960</v>
      </c>
      <c r="B53" s="65">
        <v>3.36535314743695E-3</v>
      </c>
      <c r="C53" s="65">
        <v>2.8729718875502006E-2</v>
      </c>
      <c r="D53" s="65">
        <v>0.11639503690963365</v>
      </c>
      <c r="E53" s="65">
        <v>6.6631871633034342E-2</v>
      </c>
      <c r="F53" s="65">
        <v>7.6586433260392717E-3</v>
      </c>
      <c r="G53" s="65">
        <v>4.8433048433049741E-3</v>
      </c>
      <c r="H53" s="59">
        <f t="shared" si="6"/>
        <v>1614.366327651135</v>
      </c>
      <c r="I53" s="60">
        <f t="shared" si="6"/>
        <v>154.14724097121606</v>
      </c>
      <c r="J53" s="60">
        <f t="shared" si="6"/>
        <v>239.52823965399477</v>
      </c>
      <c r="K53" s="60">
        <f t="shared" si="6"/>
        <v>470.33063055720703</v>
      </c>
      <c r="L53" s="60">
        <f t="shared" si="6"/>
        <v>261.29764708933271</v>
      </c>
      <c r="M53" s="60">
        <f t="shared" si="6"/>
        <v>170.8817829457364</v>
      </c>
      <c r="N53" s="61">
        <f t="shared" si="1"/>
        <v>-2.5364365728065056E-2</v>
      </c>
      <c r="O53" s="61">
        <f t="shared" si="2"/>
        <v>-0.1130296837621967</v>
      </c>
      <c r="P53" s="62">
        <f t="shared" si="3"/>
        <v>-6.3266518485597389E-2</v>
      </c>
      <c r="Q53" s="62">
        <f t="shared" ref="Q53:Q114" si="7">((H53/100)^(1/(A53-$A$21+1)))-((J53/100)^(1/(A53-$A$21+1)))</f>
        <v>6.1119788031217315E-2</v>
      </c>
      <c r="R53" s="63">
        <v>1.36008E-2</v>
      </c>
      <c r="S53" s="67">
        <f t="shared" ref="S53:X84" si="8">(1+B53)/(1+$R53)-1</f>
        <v>-1.0098104552169973E-2</v>
      </c>
      <c r="T53" s="67">
        <f t="shared" si="8"/>
        <v>1.4925914497602832E-2</v>
      </c>
      <c r="U53" s="67">
        <f t="shared" si="8"/>
        <v>0.10141491296142768</v>
      </c>
      <c r="V53" s="67">
        <f t="shared" si="8"/>
        <v>5.2319484784378867E-2</v>
      </c>
      <c r="W53" s="67">
        <f t="shared" si="8"/>
        <v>-5.8624230308034209E-3</v>
      </c>
      <c r="X53" s="67">
        <f t="shared" si="8"/>
        <v>-8.639984456104477E-3</v>
      </c>
    </row>
    <row r="54" spans="1:24">
      <c r="A54" s="57">
        <v>1961</v>
      </c>
      <c r="B54" s="65">
        <v>0.26637712958182752</v>
      </c>
      <c r="C54" s="65">
        <v>2.3524899598393576E-2</v>
      </c>
      <c r="D54" s="65">
        <v>2.0609208076323167E-2</v>
      </c>
      <c r="E54" s="65">
        <v>5.0999999999999997E-2</v>
      </c>
      <c r="F54" s="65">
        <v>9.7719869706840434E-3</v>
      </c>
      <c r="G54" s="65">
        <v>-5.6705415367175327E-4</v>
      </c>
      <c r="H54" s="59">
        <f t="shared" ref="H54:M69" si="9">H53*(1+B54)</f>
        <v>2044.3965961044005</v>
      </c>
      <c r="I54" s="60">
        <f t="shared" si="9"/>
        <v>157.77353933843332</v>
      </c>
      <c r="J54" s="60">
        <f t="shared" si="9"/>
        <v>244.46472698517934</v>
      </c>
      <c r="K54" s="60">
        <f t="shared" si="9"/>
        <v>494.31749271562455</v>
      </c>
      <c r="L54" s="60">
        <f t="shared" si="9"/>
        <v>263.85104429216005</v>
      </c>
      <c r="M54" s="60">
        <f t="shared" si="9"/>
        <v>170.7848837209302</v>
      </c>
      <c r="N54" s="61">
        <f t="shared" si="1"/>
        <v>0.24285222998343395</v>
      </c>
      <c r="O54" s="61">
        <f t="shared" si="2"/>
        <v>0.24576792150550436</v>
      </c>
      <c r="P54" s="62">
        <f t="shared" si="3"/>
        <v>0.21537712958182753</v>
      </c>
      <c r="Q54" s="62">
        <f t="shared" si="7"/>
        <v>6.6173591829972622E-2</v>
      </c>
      <c r="R54" s="63">
        <v>6.7091999999999994E-3</v>
      </c>
      <c r="S54" s="67">
        <f t="shared" si="8"/>
        <v>0.25793737613784362</v>
      </c>
      <c r="T54" s="67">
        <f t="shared" si="8"/>
        <v>1.6703631593307788E-2</v>
      </c>
      <c r="U54" s="67">
        <f t="shared" si="8"/>
        <v>1.3807371658392631E-2</v>
      </c>
      <c r="V54" s="67">
        <f t="shared" si="8"/>
        <v>4.3995624555730695E-2</v>
      </c>
      <c r="W54" s="67">
        <f t="shared" si="8"/>
        <v>3.0423750678787442E-3</v>
      </c>
      <c r="X54" s="67">
        <f t="shared" si="8"/>
        <v>-7.2277616551748025E-3</v>
      </c>
    </row>
    <row r="55" spans="1:24">
      <c r="A55" s="57">
        <v>1962</v>
      </c>
      <c r="B55" s="65">
        <v>-8.8114605171208879E-2</v>
      </c>
      <c r="C55" s="65">
        <v>2.7723694779116466E-2</v>
      </c>
      <c r="D55" s="65">
        <v>5.693544054008462E-2</v>
      </c>
      <c r="E55" s="65">
        <v>6.4953279936065755E-2</v>
      </c>
      <c r="F55" s="65">
        <v>3.2258064516126339E-3</v>
      </c>
      <c r="G55" s="65">
        <v>-5.6737588652489013E-4</v>
      </c>
      <c r="H55" s="59">
        <f t="shared" si="9"/>
        <v>1864.2553972252979</v>
      </c>
      <c r="I55" s="60">
        <f t="shared" si="9"/>
        <v>162.14760478727297</v>
      </c>
      <c r="J55" s="60">
        <f t="shared" si="9"/>
        <v>258.38343391259201</v>
      </c>
      <c r="K55" s="60">
        <f t="shared" si="9"/>
        <v>526.42503519727666</v>
      </c>
      <c r="L55" s="60">
        <f t="shared" si="9"/>
        <v>264.70217669310244</v>
      </c>
      <c r="M55" s="60">
        <f t="shared" si="9"/>
        <v>170.68798449612399</v>
      </c>
      <c r="N55" s="61">
        <f t="shared" si="1"/>
        <v>-0.11583829995032535</v>
      </c>
      <c r="O55" s="61">
        <f t="shared" si="2"/>
        <v>-0.14505004571129348</v>
      </c>
      <c r="P55" s="62">
        <f t="shared" si="3"/>
        <v>-0.15306788510727465</v>
      </c>
      <c r="Q55" s="62">
        <f t="shared" si="7"/>
        <v>5.9683465378989942E-2</v>
      </c>
      <c r="R55" s="63">
        <v>1.23292E-2</v>
      </c>
      <c r="S55" s="67">
        <f t="shared" si="8"/>
        <v>-9.9220495833972522E-2</v>
      </c>
      <c r="T55" s="67">
        <f t="shared" si="8"/>
        <v>1.5207004578270178E-2</v>
      </c>
      <c r="U55" s="67">
        <f t="shared" si="8"/>
        <v>4.4062979256238588E-2</v>
      </c>
      <c r="V55" s="67">
        <f t="shared" si="8"/>
        <v>5.1983169048236189E-2</v>
      </c>
      <c r="W55" s="67">
        <f t="shared" si="8"/>
        <v>-8.9925229346217161E-3</v>
      </c>
      <c r="X55" s="67">
        <f t="shared" si="8"/>
        <v>-1.2739507945167317E-2</v>
      </c>
    </row>
    <row r="56" spans="1:24">
      <c r="A56" s="57">
        <v>1963</v>
      </c>
      <c r="B56" s="65">
        <v>0.22611927099841514</v>
      </c>
      <c r="C56" s="65">
        <v>3.1560240963855422E-2</v>
      </c>
      <c r="D56" s="65">
        <v>1.6841620739546127E-2</v>
      </c>
      <c r="E56" s="65">
        <v>5.4644805711862345E-2</v>
      </c>
      <c r="F56" s="65">
        <v>2.143622722400873E-2</v>
      </c>
      <c r="G56" s="65">
        <v>-3.9738858927048648E-3</v>
      </c>
      <c r="H56" s="59">
        <f t="shared" si="9"/>
        <v>2285.7994686007432</v>
      </c>
      <c r="I56" s="60">
        <f t="shared" si="9"/>
        <v>167.2650222660713</v>
      </c>
      <c r="J56" s="60">
        <f t="shared" si="9"/>
        <v>262.73502971192949</v>
      </c>
      <c r="K56" s="60">
        <f t="shared" si="9"/>
        <v>555.19142896749213</v>
      </c>
      <c r="L56" s="60">
        <f t="shared" si="9"/>
        <v>270.37639269938552</v>
      </c>
      <c r="M56" s="60">
        <f t="shared" si="9"/>
        <v>170.00968992248062</v>
      </c>
      <c r="N56" s="61">
        <f t="shared" si="1"/>
        <v>0.19455903003455971</v>
      </c>
      <c r="O56" s="61">
        <f t="shared" si="2"/>
        <v>0.20927765025886902</v>
      </c>
      <c r="P56" s="62">
        <f t="shared" si="3"/>
        <v>0.1714744652865528</v>
      </c>
      <c r="Q56" s="62">
        <f t="shared" si="7"/>
        <v>6.3618993911514821E-2</v>
      </c>
      <c r="R56" s="63">
        <v>1.6458199999999999E-2</v>
      </c>
      <c r="S56" s="67">
        <f t="shared" si="8"/>
        <v>0.20626629899627469</v>
      </c>
      <c r="T56" s="67">
        <f t="shared" si="8"/>
        <v>1.4857513042696002E-2</v>
      </c>
      <c r="U56" s="67">
        <f t="shared" si="8"/>
        <v>3.7721250076594437E-4</v>
      </c>
      <c r="V56" s="67">
        <f t="shared" si="8"/>
        <v>3.7568299131102822E-2</v>
      </c>
      <c r="W56" s="67">
        <f t="shared" si="8"/>
        <v>4.8974244332022909E-3</v>
      </c>
      <c r="X56" s="67">
        <f t="shared" si="8"/>
        <v>-2.0101255410901131E-2</v>
      </c>
    </row>
    <row r="57" spans="1:24">
      <c r="A57" s="57">
        <v>1964</v>
      </c>
      <c r="B57" s="65">
        <v>0.16415455878432425</v>
      </c>
      <c r="C57" s="65">
        <v>3.5457370517928286E-2</v>
      </c>
      <c r="D57" s="65">
        <v>3.7280648911540815E-2</v>
      </c>
      <c r="E57" s="65">
        <v>5.1617392722850271E-2</v>
      </c>
      <c r="F57" s="65">
        <v>1.2591815320041944E-2</v>
      </c>
      <c r="G57" s="65">
        <v>2.8498147620403813E-4</v>
      </c>
      <c r="H57" s="59">
        <f t="shared" si="9"/>
        <v>2661.0238718383412</v>
      </c>
      <c r="I57" s="60">
        <f t="shared" si="9"/>
        <v>173.1958001352489</v>
      </c>
      <c r="J57" s="60">
        <f t="shared" si="9"/>
        <v>272.52996211138321</v>
      </c>
      <c r="K57" s="60">
        <f t="shared" si="9"/>
        <v>583.84896299286754</v>
      </c>
      <c r="L57" s="60">
        <f t="shared" si="9"/>
        <v>273.78092230315531</v>
      </c>
      <c r="M57" s="60">
        <f t="shared" si="9"/>
        <v>170.05813953488371</v>
      </c>
      <c r="N57" s="61">
        <f t="shared" si="1"/>
        <v>0.12869718826639598</v>
      </c>
      <c r="O57" s="61">
        <f t="shared" si="2"/>
        <v>0.12687390987278344</v>
      </c>
      <c r="P57" s="62">
        <f t="shared" si="3"/>
        <v>0.11253716606147399</v>
      </c>
      <c r="Q57" s="62">
        <f t="shared" si="7"/>
        <v>6.5267777442658215E-2</v>
      </c>
      <c r="R57" s="63">
        <v>1.19819E-2</v>
      </c>
      <c r="S57" s="67">
        <f t="shared" si="8"/>
        <v>0.15037092934599339</v>
      </c>
      <c r="T57" s="67">
        <f t="shared" si="8"/>
        <v>2.3197520151228002E-2</v>
      </c>
      <c r="U57" s="67">
        <f t="shared" si="8"/>
        <v>2.4999210866855304E-2</v>
      </c>
      <c r="V57" s="67">
        <f t="shared" si="8"/>
        <v>3.9166207145453935E-2</v>
      </c>
      <c r="W57" s="67">
        <f t="shared" si="8"/>
        <v>6.0269390197764672E-4</v>
      </c>
      <c r="X57" s="67">
        <f t="shared" si="8"/>
        <v>-1.1558426611974038E-2</v>
      </c>
    </row>
    <row r="58" spans="1:24">
      <c r="A58" s="57">
        <v>1965</v>
      </c>
      <c r="B58" s="65">
        <v>0.12399242477876114</v>
      </c>
      <c r="C58" s="65">
        <v>3.9490763052208833E-2</v>
      </c>
      <c r="D58" s="65">
        <v>7.1885509359262342E-3</v>
      </c>
      <c r="E58" s="65">
        <v>3.1900094622538809E-2</v>
      </c>
      <c r="F58" s="65">
        <v>1.6580310880829119E-2</v>
      </c>
      <c r="G58" s="65">
        <v>5.6980056980049376E-4</v>
      </c>
      <c r="H58" s="59">
        <f t="shared" si="9"/>
        <v>2990.9706741017444</v>
      </c>
      <c r="I58" s="60">
        <f t="shared" si="9"/>
        <v>180.03543444002773</v>
      </c>
      <c r="J58" s="60">
        <f t="shared" si="9"/>
        <v>274.48905762558695</v>
      </c>
      <c r="K58" s="60">
        <f t="shared" si="9"/>
        <v>602.47380015761109</v>
      </c>
      <c r="L58" s="60">
        <f t="shared" si="9"/>
        <v>278.32029510818177</v>
      </c>
      <c r="M58" s="60">
        <f t="shared" si="9"/>
        <v>170.15503875968989</v>
      </c>
      <c r="N58" s="61">
        <f t="shared" si="1"/>
        <v>8.450166172655231E-2</v>
      </c>
      <c r="O58" s="61">
        <f t="shared" si="2"/>
        <v>0.11680387384283492</v>
      </c>
      <c r="P58" s="62">
        <f t="shared" si="3"/>
        <v>9.2092330156222341E-2</v>
      </c>
      <c r="Q58" s="62">
        <f t="shared" si="7"/>
        <v>6.6617941689874449E-2</v>
      </c>
      <c r="R58" s="63">
        <v>1.9199999999999998E-2</v>
      </c>
      <c r="S58" s="67">
        <f t="shared" si="8"/>
        <v>0.10281831316597434</v>
      </c>
      <c r="T58" s="67">
        <f t="shared" si="8"/>
        <v>1.9908519478226694E-2</v>
      </c>
      <c r="U58" s="67">
        <f t="shared" si="8"/>
        <v>-1.1785173728486975E-2</v>
      </c>
      <c r="V58" s="67">
        <f t="shared" si="8"/>
        <v>1.2460846372192469E-2</v>
      </c>
      <c r="W58" s="67">
        <f t="shared" si="8"/>
        <v>-2.5703386177109433E-3</v>
      </c>
      <c r="X58" s="67">
        <f t="shared" si="8"/>
        <v>-1.827923805945797E-2</v>
      </c>
    </row>
    <row r="59" spans="1:24">
      <c r="A59" s="57">
        <v>1966</v>
      </c>
      <c r="B59" s="65">
        <v>-9.9709542356377898E-2</v>
      </c>
      <c r="C59" s="65">
        <v>4.8557199999999995E-2</v>
      </c>
      <c r="D59" s="65">
        <v>2.9079409324299622E-2</v>
      </c>
      <c r="E59" s="65">
        <v>-3.4453615975776369E-2</v>
      </c>
      <c r="F59" s="65">
        <v>1.2232415902140525E-2</v>
      </c>
      <c r="G59" s="65">
        <v>2.8473804100248579E-4</v>
      </c>
      <c r="H59" s="59">
        <f t="shared" si="9"/>
        <v>2692.7423569857124</v>
      </c>
      <c r="I59" s="60">
        <f t="shared" si="9"/>
        <v>188.77745103721907</v>
      </c>
      <c r="J59" s="60">
        <f t="shared" si="9"/>
        <v>282.47103728732264</v>
      </c>
      <c r="K59" s="60">
        <f t="shared" si="9"/>
        <v>581.71639921151416</v>
      </c>
      <c r="L59" s="60">
        <f t="shared" si="9"/>
        <v>281.72482471195156</v>
      </c>
      <c r="M59" s="60">
        <f t="shared" si="9"/>
        <v>170.20348837209303</v>
      </c>
      <c r="N59" s="61">
        <f t="shared" si="1"/>
        <v>-0.14826674235637788</v>
      </c>
      <c r="O59" s="61">
        <f t="shared" si="2"/>
        <v>-0.12878895168067753</v>
      </c>
      <c r="P59" s="62">
        <f t="shared" si="3"/>
        <v>-6.5255926380601528E-2</v>
      </c>
      <c r="Q59" s="62">
        <f t="shared" si="7"/>
        <v>6.1123719679815336E-2</v>
      </c>
      <c r="R59" s="63">
        <v>3.3595E-2</v>
      </c>
      <c r="S59" s="67">
        <f t="shared" si="8"/>
        <v>-0.12897173685667784</v>
      </c>
      <c r="T59" s="67">
        <f t="shared" si="8"/>
        <v>1.4475882720020872E-2</v>
      </c>
      <c r="U59" s="67">
        <f t="shared" si="8"/>
        <v>-4.3688201623464096E-3</v>
      </c>
      <c r="V59" s="67">
        <f t="shared" si="8"/>
        <v>-6.5836827747595916E-2</v>
      </c>
      <c r="W59" s="67">
        <f t="shared" si="8"/>
        <v>-2.0668234751386683E-2</v>
      </c>
      <c r="X59" s="67">
        <f t="shared" si="8"/>
        <v>-3.2227576525619361E-2</v>
      </c>
    </row>
    <row r="60" spans="1:24">
      <c r="A60" s="57">
        <v>1967</v>
      </c>
      <c r="B60" s="65">
        <v>0.23802966513133328</v>
      </c>
      <c r="C60" s="65">
        <v>4.2934538152610439E-2</v>
      </c>
      <c r="D60" s="65">
        <v>-1.5806209932824666E-2</v>
      </c>
      <c r="E60" s="65">
        <v>8.9522661484468247E-3</v>
      </c>
      <c r="F60" s="65">
        <v>2.3162134944612278E-2</v>
      </c>
      <c r="G60" s="65">
        <v>-5.1238257899230977E-3</v>
      </c>
      <c r="H60" s="59">
        <f t="shared" si="9"/>
        <v>3333.6949185039784</v>
      </c>
      <c r="I60" s="60">
        <f t="shared" si="9"/>
        <v>196.8825237111291</v>
      </c>
      <c r="J60" s="60">
        <f t="shared" si="9"/>
        <v>278.0062407720165</v>
      </c>
      <c r="K60" s="60">
        <f t="shared" si="9"/>
        <v>586.92407924017186</v>
      </c>
      <c r="L60" s="60">
        <f t="shared" si="9"/>
        <v>288.25017311917702</v>
      </c>
      <c r="M60" s="60">
        <f t="shared" si="9"/>
        <v>169.33139534883722</v>
      </c>
      <c r="N60" s="61">
        <f t="shared" si="1"/>
        <v>0.19509512697872283</v>
      </c>
      <c r="O60" s="61">
        <f t="shared" si="2"/>
        <v>0.25383587506415795</v>
      </c>
      <c r="P60" s="62">
        <f t="shared" si="3"/>
        <v>0.22907739898288645</v>
      </c>
      <c r="Q60" s="62">
        <f t="shared" si="7"/>
        <v>6.5732838776739522E-2</v>
      </c>
      <c r="R60" s="63">
        <v>3.2806799999999997E-2</v>
      </c>
      <c r="S60" s="67">
        <f t="shared" si="8"/>
        <v>0.1987040220216727</v>
      </c>
      <c r="T60" s="67">
        <f t="shared" si="8"/>
        <v>9.806033570470829E-3</v>
      </c>
      <c r="U60" s="67">
        <f t="shared" si="8"/>
        <v>-4.7068832169602892E-2</v>
      </c>
      <c r="V60" s="67">
        <f t="shared" si="8"/>
        <v>-2.3096801697619518E-2</v>
      </c>
      <c r="W60" s="67">
        <f t="shared" si="8"/>
        <v>-9.3383051461198852E-3</v>
      </c>
      <c r="X60" s="67">
        <f t="shared" si="8"/>
        <v>-3.6725770773316957E-2</v>
      </c>
    </row>
    <row r="61" spans="1:24">
      <c r="A61" s="57">
        <v>1968</v>
      </c>
      <c r="B61" s="65">
        <v>0.10814862651601535</v>
      </c>
      <c r="C61" s="65">
        <v>5.3376E-2</v>
      </c>
      <c r="D61" s="65">
        <v>3.2746196950768365E-2</v>
      </c>
      <c r="E61" s="65">
        <v>4.845146224309746E-2</v>
      </c>
      <c r="F61" s="65">
        <v>4.1338582677165281E-2</v>
      </c>
      <c r="G61" s="65">
        <v>0.12474964234620889</v>
      </c>
      <c r="H61" s="59">
        <f t="shared" si="9"/>
        <v>3694.2294451636035</v>
      </c>
      <c r="I61" s="60">
        <f t="shared" si="9"/>
        <v>207.39132529673435</v>
      </c>
      <c r="J61" s="60">
        <f t="shared" si="9"/>
        <v>287.10988788587969</v>
      </c>
      <c r="K61" s="60">
        <f t="shared" si="9"/>
        <v>615.36140910504173</v>
      </c>
      <c r="L61" s="60">
        <f t="shared" si="9"/>
        <v>300.16602673237134</v>
      </c>
      <c r="M61" s="60">
        <f t="shared" si="9"/>
        <v>190.45542635658916</v>
      </c>
      <c r="N61" s="61">
        <f t="shared" si="1"/>
        <v>5.4772626516015353E-2</v>
      </c>
      <c r="O61" s="61">
        <f t="shared" si="2"/>
        <v>7.5402429565246981E-2</v>
      </c>
      <c r="P61" s="62">
        <f t="shared" si="3"/>
        <v>5.9697164272917894E-2</v>
      </c>
      <c r="Q61" s="62">
        <f t="shared" si="7"/>
        <v>6.596627828748769E-2</v>
      </c>
      <c r="R61" s="63">
        <v>4.7058799999999998E-2</v>
      </c>
      <c r="S61" s="67">
        <f t="shared" si="8"/>
        <v>5.8344217646626229E-2</v>
      </c>
      <c r="T61" s="67">
        <f t="shared" si="8"/>
        <v>6.033281034455884E-3</v>
      </c>
      <c r="U61" s="67">
        <f t="shared" si="8"/>
        <v>-1.3669340298015475E-2</v>
      </c>
      <c r="V61" s="67">
        <f t="shared" si="8"/>
        <v>1.3300707114989319E-3</v>
      </c>
      <c r="W61" s="67">
        <f t="shared" si="8"/>
        <v>-5.4631290265979571E-3</v>
      </c>
      <c r="X61" s="67">
        <f t="shared" si="8"/>
        <v>7.4199120762089787E-2</v>
      </c>
    </row>
    <row r="62" spans="1:24">
      <c r="A62" s="57">
        <v>1969</v>
      </c>
      <c r="B62" s="65">
        <v>-8.2413710764490639E-2</v>
      </c>
      <c r="C62" s="65">
        <v>6.668467741935484E-2</v>
      </c>
      <c r="D62" s="65">
        <v>-5.0140493209926106E-2</v>
      </c>
      <c r="E62" s="65">
        <v>-2.0251642507921469E-2</v>
      </c>
      <c r="F62" s="65">
        <v>6.9943289224952743E-2</v>
      </c>
      <c r="G62" s="65">
        <v>5.0114474688374377E-2</v>
      </c>
      <c r="H62" s="59">
        <f t="shared" si="9"/>
        <v>3389.7742881722256</v>
      </c>
      <c r="I62" s="60">
        <f t="shared" si="9"/>
        <v>221.22114892371957</v>
      </c>
      <c r="J62" s="60">
        <f t="shared" si="9"/>
        <v>272.7140565018351</v>
      </c>
      <c r="K62" s="60">
        <f t="shared" si="9"/>
        <v>602.89932983467565</v>
      </c>
      <c r="L62" s="60">
        <f t="shared" si="9"/>
        <v>321.16062595561846</v>
      </c>
      <c r="M62" s="60">
        <f t="shared" si="9"/>
        <v>200</v>
      </c>
      <c r="N62" s="61">
        <f t="shared" si="1"/>
        <v>-0.14909838818384546</v>
      </c>
      <c r="O62" s="61">
        <f t="shared" si="2"/>
        <v>-3.2273217554564533E-2</v>
      </c>
      <c r="P62" s="62">
        <f t="shared" si="3"/>
        <v>-6.216206825656917E-2</v>
      </c>
      <c r="Q62" s="62">
        <f t="shared" si="7"/>
        <v>6.3333872734198771E-2</v>
      </c>
      <c r="R62" s="63">
        <v>5.8988800000000001E-2</v>
      </c>
      <c r="S62" s="67">
        <f t="shared" si="8"/>
        <v>-0.13352597380113063</v>
      </c>
      <c r="T62" s="67">
        <f t="shared" si="8"/>
        <v>7.2671943455442367E-3</v>
      </c>
      <c r="U62" s="67">
        <f t="shared" si="8"/>
        <v>-0.10305046966495413</v>
      </c>
      <c r="V62" s="67">
        <f t="shared" si="8"/>
        <v>-7.4826516114166131E-2</v>
      </c>
      <c r="W62" s="67">
        <f t="shared" si="8"/>
        <v>1.034429186121022E-2</v>
      </c>
      <c r="X62" s="67">
        <f t="shared" si="8"/>
        <v>-8.3799992139913515E-3</v>
      </c>
    </row>
    <row r="63" spans="1:24">
      <c r="A63" s="57">
        <v>1970</v>
      </c>
      <c r="B63" s="65">
        <v>3.5611449054964189E-2</v>
      </c>
      <c r="C63" s="65">
        <v>6.3909999999999995E-2</v>
      </c>
      <c r="D63" s="65">
        <v>0.16754737183412338</v>
      </c>
      <c r="E63" s="65">
        <v>5.6495676569888728E-2</v>
      </c>
      <c r="F63" s="65">
        <v>8.2155477031802038E-2</v>
      </c>
      <c r="G63" s="65">
        <v>-9.4476744186046457E-2</v>
      </c>
      <c r="H63" s="59">
        <f t="shared" si="9"/>
        <v>3510.4890625432981</v>
      </c>
      <c r="I63" s="60">
        <f t="shared" si="9"/>
        <v>235.35939255143447</v>
      </c>
      <c r="J63" s="60">
        <f t="shared" si="9"/>
        <v>318.40657993094021</v>
      </c>
      <c r="K63" s="60">
        <f t="shared" si="9"/>
        <v>636.96053537721821</v>
      </c>
      <c r="L63" s="60">
        <f t="shared" si="9"/>
        <v>347.54573038483443</v>
      </c>
      <c r="M63" s="60">
        <f t="shared" si="9"/>
        <v>181.1046511627907</v>
      </c>
      <c r="N63" s="61">
        <f t="shared" si="1"/>
        <v>-2.8298550945035805E-2</v>
      </c>
      <c r="O63" s="61">
        <f t="shared" si="2"/>
        <v>-0.13193592277915919</v>
      </c>
      <c r="P63" s="62">
        <f t="shared" si="3"/>
        <v>-2.0884227514924539E-2</v>
      </c>
      <c r="Q63" s="62">
        <f t="shared" si="7"/>
        <v>5.8972566666315007E-2</v>
      </c>
      <c r="R63" s="63">
        <v>5.57029E-2</v>
      </c>
      <c r="S63" s="67">
        <f t="shared" si="8"/>
        <v>-1.9031349582383283E-2</v>
      </c>
      <c r="T63" s="67">
        <f t="shared" si="8"/>
        <v>7.7740621911712715E-3</v>
      </c>
      <c r="U63" s="67">
        <f t="shared" si="8"/>
        <v>0.10594313213890327</v>
      </c>
      <c r="V63" s="67">
        <f t="shared" si="8"/>
        <v>7.5094666301356305E-4</v>
      </c>
      <c r="W63" s="67">
        <f t="shared" si="8"/>
        <v>2.5056838464498021E-2</v>
      </c>
      <c r="X63" s="67">
        <f t="shared" si="8"/>
        <v>-0.14225559500314577</v>
      </c>
    </row>
    <row r="64" spans="1:24">
      <c r="A64" s="57">
        <v>1971</v>
      </c>
      <c r="B64" s="65">
        <v>0.14221150298426474</v>
      </c>
      <c r="C64" s="65">
        <v>4.3342570281124503E-2</v>
      </c>
      <c r="D64" s="65">
        <v>9.7868966197122972E-2</v>
      </c>
      <c r="E64" s="65">
        <v>0.1400146617421994</v>
      </c>
      <c r="F64" s="65">
        <v>4.24489795918368E-2</v>
      </c>
      <c r="G64" s="65">
        <v>0.16693418940609939</v>
      </c>
      <c r="H64" s="59">
        <f t="shared" si="9"/>
        <v>4009.720988337403</v>
      </c>
      <c r="I64" s="60">
        <f t="shared" si="9"/>
        <v>245.5604735644178</v>
      </c>
      <c r="J64" s="60">
        <f t="shared" si="9"/>
        <v>349.56870273914296</v>
      </c>
      <c r="K64" s="60">
        <f t="shared" si="9"/>
        <v>726.14434928118965</v>
      </c>
      <c r="L64" s="60">
        <f t="shared" si="9"/>
        <v>362.29869200117025</v>
      </c>
      <c r="M64" s="60">
        <f t="shared" si="9"/>
        <v>211.33720930232556</v>
      </c>
      <c r="N64" s="61">
        <f t="shared" si="1"/>
        <v>9.8868932703140233E-2</v>
      </c>
      <c r="O64" s="61">
        <f t="shared" si="2"/>
        <v>4.434253678714177E-2</v>
      </c>
      <c r="P64" s="62">
        <f t="shared" si="3"/>
        <v>2.1968412420653449E-3</v>
      </c>
      <c r="Q64" s="62">
        <f t="shared" si="7"/>
        <v>5.8660636809878541E-2</v>
      </c>
      <c r="R64" s="63">
        <v>3.2663299999999999E-2</v>
      </c>
      <c r="S64" s="67">
        <f t="shared" si="8"/>
        <v>0.10608317636955311</v>
      </c>
      <c r="T64" s="67">
        <f t="shared" si="8"/>
        <v>1.0341483309346255E-2</v>
      </c>
      <c r="U64" s="67">
        <f t="shared" si="8"/>
        <v>6.3143200883698514E-2</v>
      </c>
      <c r="V64" s="67">
        <f t="shared" si="8"/>
        <v>0.10395582155597016</v>
      </c>
      <c r="W64" s="67">
        <f t="shared" si="8"/>
        <v>9.4761570318580013E-3</v>
      </c>
      <c r="X64" s="67">
        <f t="shared" si="8"/>
        <v>0.13002388039363777</v>
      </c>
    </row>
    <row r="65" spans="1:24">
      <c r="A65" s="57">
        <v>1972</v>
      </c>
      <c r="B65" s="65">
        <v>0.18755362915074925</v>
      </c>
      <c r="C65" s="65">
        <v>4.0618399999999999E-2</v>
      </c>
      <c r="D65" s="65">
        <v>2.818449050444969E-2</v>
      </c>
      <c r="E65" s="65">
        <v>0.11409093579389698</v>
      </c>
      <c r="F65" s="65">
        <v>2.9757243539545897E-2</v>
      </c>
      <c r="G65" s="65">
        <v>0.48784961027051832</v>
      </c>
      <c r="H65" s="59">
        <f t="shared" si="9"/>
        <v>4761.7587115820115</v>
      </c>
      <c r="I65" s="60">
        <f t="shared" si="9"/>
        <v>255.53474710384677</v>
      </c>
      <c r="J65" s="60">
        <f t="shared" si="9"/>
        <v>359.42111852214714</v>
      </c>
      <c r="K65" s="60">
        <f t="shared" si="9"/>
        <v>808.99083761213103</v>
      </c>
      <c r="L65" s="60">
        <f t="shared" si="9"/>
        <v>373.07970241310801</v>
      </c>
      <c r="M65" s="60">
        <f t="shared" si="9"/>
        <v>314.43798449612405</v>
      </c>
      <c r="N65" s="61">
        <f t="shared" si="1"/>
        <v>0.14693522915074925</v>
      </c>
      <c r="O65" s="61">
        <f t="shared" si="2"/>
        <v>0.15936913864629956</v>
      </c>
      <c r="P65" s="62">
        <f t="shared" si="3"/>
        <v>7.3462693356852266E-2</v>
      </c>
      <c r="Q65" s="62">
        <f t="shared" si="7"/>
        <v>6.0804303728189568E-2</v>
      </c>
      <c r="R65" s="63">
        <v>3.4063299999999998E-2</v>
      </c>
      <c r="S65" s="67">
        <f t="shared" si="8"/>
        <v>0.14843417143877868</v>
      </c>
      <c r="T65" s="67">
        <f t="shared" si="8"/>
        <v>6.3391670509920228E-3</v>
      </c>
      <c r="U65" s="67">
        <f t="shared" si="8"/>
        <v>-5.6851543764778745E-3</v>
      </c>
      <c r="V65" s="67">
        <f t="shared" si="8"/>
        <v>7.739142835249746E-2</v>
      </c>
      <c r="W65" s="67">
        <f t="shared" si="8"/>
        <v>-4.1642097349882112E-3</v>
      </c>
      <c r="X65" s="67">
        <f t="shared" si="8"/>
        <v>0.43883803851323067</v>
      </c>
    </row>
    <row r="66" spans="1:24">
      <c r="A66" s="57">
        <v>1973</v>
      </c>
      <c r="B66" s="65">
        <v>-0.14308047437526472</v>
      </c>
      <c r="C66" s="65">
        <v>7.0354435483870964E-2</v>
      </c>
      <c r="D66" s="65">
        <v>3.6586646024150085E-2</v>
      </c>
      <c r="E66" s="65">
        <v>4.3180404854323576E-2</v>
      </c>
      <c r="F66" s="65">
        <v>3.4220532319391594E-2</v>
      </c>
      <c r="G66" s="65">
        <v>0.72958397534668706</v>
      </c>
      <c r="H66" s="59">
        <f t="shared" si="9"/>
        <v>4080.4440162683081</v>
      </c>
      <c r="I66" s="60">
        <f t="shared" si="9"/>
        <v>273.51274998285163</v>
      </c>
      <c r="J66" s="60">
        <f t="shared" si="9"/>
        <v>372.57113175912104</v>
      </c>
      <c r="K66" s="60">
        <f t="shared" si="9"/>
        <v>843.92338950366127</v>
      </c>
      <c r="L66" s="60">
        <f t="shared" si="9"/>
        <v>385.84668842724477</v>
      </c>
      <c r="M66" s="60">
        <f t="shared" si="9"/>
        <v>543.84689922480618</v>
      </c>
      <c r="N66" s="61">
        <f t="shared" si="1"/>
        <v>-0.21343490985913569</v>
      </c>
      <c r="O66" s="61">
        <f t="shared" si="2"/>
        <v>-0.17966712039941479</v>
      </c>
      <c r="P66" s="62">
        <f t="shared" si="3"/>
        <v>-0.18626087922958828</v>
      </c>
      <c r="Q66" s="62">
        <f t="shared" si="7"/>
        <v>5.4960045718843054E-2</v>
      </c>
      <c r="R66" s="63">
        <v>8.9411799999999986E-2</v>
      </c>
      <c r="S66" s="67">
        <f t="shared" si="8"/>
        <v>-0.21341082809573453</v>
      </c>
      <c r="T66" s="67">
        <f t="shared" si="8"/>
        <v>-1.7493260598176907E-2</v>
      </c>
      <c r="U66" s="67">
        <f t="shared" si="8"/>
        <v>-4.8489610609917855E-2</v>
      </c>
      <c r="V66" s="67">
        <f t="shared" si="8"/>
        <v>-4.2437024406818735E-2</v>
      </c>
      <c r="W66" s="67">
        <f t="shared" si="8"/>
        <v>-5.0661529167031594E-2</v>
      </c>
      <c r="X66" s="67">
        <f t="shared" si="8"/>
        <v>0.58763102744681772</v>
      </c>
    </row>
    <row r="67" spans="1:24">
      <c r="A67" s="57">
        <v>1974</v>
      </c>
      <c r="B67" s="65">
        <v>-0.25901785750896972</v>
      </c>
      <c r="C67" s="65">
        <v>7.8457831325301208E-2</v>
      </c>
      <c r="D67" s="65">
        <v>1.9886086932378574E-2</v>
      </c>
      <c r="E67" s="65">
        <v>-4.3807197977191667E-2</v>
      </c>
      <c r="F67" s="65">
        <v>0.10073529411764692</v>
      </c>
      <c r="G67" s="65">
        <v>0.66146993318485525</v>
      </c>
      <c r="H67" s="59">
        <f t="shared" si="9"/>
        <v>3023.5361494891954</v>
      </c>
      <c r="I67" s="60">
        <f t="shared" si="9"/>
        <v>294.97196718632551</v>
      </c>
      <c r="J67" s="60">
        <f t="shared" si="9"/>
        <v>379.98011367377757</v>
      </c>
      <c r="K67" s="60">
        <f t="shared" si="9"/>
        <v>806.9534705020917</v>
      </c>
      <c r="L67" s="60">
        <f t="shared" si="9"/>
        <v>424.71506807028334</v>
      </c>
      <c r="M67" s="60">
        <f t="shared" si="9"/>
        <v>903.58527131782944</v>
      </c>
      <c r="N67" s="61">
        <f t="shared" si="1"/>
        <v>-0.33747568883427093</v>
      </c>
      <c r="O67" s="61">
        <f t="shared" si="2"/>
        <v>-0.27890394444134831</v>
      </c>
      <c r="P67" s="62">
        <f t="shared" si="3"/>
        <v>-0.21521065953177804</v>
      </c>
      <c r="Q67" s="62">
        <f t="shared" si="7"/>
        <v>4.6417018581159875E-2</v>
      </c>
      <c r="R67" s="63">
        <v>0.1209503</v>
      </c>
      <c r="S67" s="67">
        <f t="shared" si="8"/>
        <v>-0.33896967377498333</v>
      </c>
      <c r="T67" s="67">
        <f t="shared" si="8"/>
        <v>-3.7907540302811626E-2</v>
      </c>
      <c r="U67" s="67">
        <f t="shared" si="8"/>
        <v>-9.0159405878763366E-2</v>
      </c>
      <c r="V67" s="67">
        <f t="shared" si="8"/>
        <v>-0.14698019883414259</v>
      </c>
      <c r="W67" s="67">
        <f t="shared" si="8"/>
        <v>-1.8033811028333013E-2</v>
      </c>
      <c r="X67" s="67">
        <f t="shared" si="8"/>
        <v>0.48219767922347234</v>
      </c>
    </row>
    <row r="68" spans="1:24">
      <c r="A68" s="57">
        <v>1975</v>
      </c>
      <c r="B68" s="65">
        <v>0.36995137106184356</v>
      </c>
      <c r="C68" s="65">
        <v>5.7863855421686747E-2</v>
      </c>
      <c r="D68" s="65">
        <v>3.6052536026033838E-2</v>
      </c>
      <c r="E68" s="65">
        <v>0.11049964074144952</v>
      </c>
      <c r="F68" s="65">
        <v>6.7737093749264288E-2</v>
      </c>
      <c r="G68" s="65">
        <v>-0.24798927613941024</v>
      </c>
      <c r="H68" s="59">
        <f t="shared" si="9"/>
        <v>4142.0974934477708</v>
      </c>
      <c r="I68" s="60">
        <f t="shared" si="9"/>
        <v>312.04018244904557</v>
      </c>
      <c r="J68" s="60">
        <f t="shared" si="9"/>
        <v>393.67936041117781</v>
      </c>
      <c r="K68" s="60">
        <f t="shared" si="9"/>
        <v>896.12153908763878</v>
      </c>
      <c r="L68" s="60">
        <f t="shared" si="9"/>
        <v>453.48403245288529</v>
      </c>
      <c r="M68" s="60">
        <f t="shared" si="9"/>
        <v>679.50581395348831</v>
      </c>
      <c r="N68" s="61">
        <f t="shared" si="1"/>
        <v>0.3120875156401568</v>
      </c>
      <c r="O68" s="61">
        <f t="shared" si="2"/>
        <v>0.33389883503580975</v>
      </c>
      <c r="P68" s="62">
        <f t="shared" si="3"/>
        <v>0.25945173032039404</v>
      </c>
      <c r="Q68" s="62">
        <f t="shared" si="7"/>
        <v>5.1706756781676244E-2</v>
      </c>
      <c r="R68" s="63">
        <v>7.129089999999999E-2</v>
      </c>
      <c r="S68" s="67">
        <f t="shared" si="8"/>
        <v>0.27878559508145151</v>
      </c>
      <c r="T68" s="67">
        <f t="shared" si="8"/>
        <v>-1.2533518746694394E-2</v>
      </c>
      <c r="U68" s="67">
        <f t="shared" si="8"/>
        <v>-3.2893366287313874E-2</v>
      </c>
      <c r="V68" s="67">
        <f t="shared" si="8"/>
        <v>3.6599527487304995E-2</v>
      </c>
      <c r="W68" s="67">
        <f t="shared" si="8"/>
        <v>-3.3173120865076511E-3</v>
      </c>
      <c r="X68" s="67">
        <f t="shared" si="8"/>
        <v>-0.29803312633329582</v>
      </c>
    </row>
    <row r="69" spans="1:24">
      <c r="A69" s="57">
        <v>1976</v>
      </c>
      <c r="B69" s="65">
        <v>0.23830999002106662</v>
      </c>
      <c r="C69" s="65">
        <v>4.9766000000000005E-2</v>
      </c>
      <c r="D69" s="65">
        <v>0.1598456074290921</v>
      </c>
      <c r="E69" s="65">
        <v>0.19752813987098014</v>
      </c>
      <c r="F69" s="65">
        <v>8.1778348568406711E-2</v>
      </c>
      <c r="G69" s="65">
        <v>-4.099821746880572E-2</v>
      </c>
      <c r="H69" s="59">
        <f t="shared" si="9"/>
        <v>5129.2007057775936</v>
      </c>
      <c r="I69" s="60">
        <f t="shared" si="9"/>
        <v>327.56917416880475</v>
      </c>
      <c r="J69" s="60">
        <f t="shared" si="9"/>
        <v>456.607276908399</v>
      </c>
      <c r="K69" s="60">
        <f t="shared" si="9"/>
        <v>1073.1307598019398</v>
      </c>
      <c r="L69" s="60">
        <f t="shared" si="9"/>
        <v>490.56920772902401</v>
      </c>
      <c r="M69" s="60">
        <f t="shared" si="9"/>
        <v>651.64728682170539</v>
      </c>
      <c r="N69" s="61">
        <f t="shared" si="1"/>
        <v>0.18854399002106662</v>
      </c>
      <c r="O69" s="61">
        <f t="shared" si="2"/>
        <v>7.8464382591974524E-2</v>
      </c>
      <c r="P69" s="62">
        <f t="shared" si="3"/>
        <v>4.0781850150086479E-2</v>
      </c>
      <c r="Q69" s="62">
        <f t="shared" si="7"/>
        <v>5.2196588038950109E-2</v>
      </c>
      <c r="R69" s="63">
        <v>5.03597E-2</v>
      </c>
      <c r="S69" s="67">
        <f t="shared" si="8"/>
        <v>0.1789389768296199</v>
      </c>
      <c r="T69" s="67">
        <f t="shared" si="8"/>
        <v>-5.6523493808835479E-4</v>
      </c>
      <c r="U69" s="67">
        <f t="shared" si="8"/>
        <v>0.10423658431401361</v>
      </c>
      <c r="V69" s="67">
        <f t="shared" si="8"/>
        <v>0.14011242041272154</v>
      </c>
      <c r="W69" s="67">
        <f t="shared" si="8"/>
        <v>2.9912275355201468E-2</v>
      </c>
      <c r="X69" s="67">
        <f t="shared" si="8"/>
        <v>-8.6977744356343534E-2</v>
      </c>
    </row>
    <row r="70" spans="1:24">
      <c r="A70" s="57">
        <v>1977</v>
      </c>
      <c r="B70" s="65">
        <v>-6.9797040759352322E-2</v>
      </c>
      <c r="C70" s="65">
        <v>5.2609638554216867E-2</v>
      </c>
      <c r="D70" s="65">
        <v>1.2899606071070449E-2</v>
      </c>
      <c r="E70" s="65">
        <v>9.9546628520906386E-2</v>
      </c>
      <c r="F70" s="65">
        <v>0.14654841300324728</v>
      </c>
      <c r="G70" s="65">
        <v>0.2263940520446095</v>
      </c>
      <c r="H70" s="59">
        <f t="shared" ref="H70:M85" si="10">H69*(1+B70)</f>
        <v>4771.1976750535359</v>
      </c>
      <c r="I70" s="60">
        <f t="shared" si="10"/>
        <v>344.80247002332891</v>
      </c>
      <c r="J70" s="60">
        <f t="shared" si="10"/>
        <v>462.49733090970153</v>
      </c>
      <c r="K70" s="60">
        <f t="shared" si="10"/>
        <v>1179.9573089023015</v>
      </c>
      <c r="L70" s="60">
        <f t="shared" si="10"/>
        <v>562.46134658997278</v>
      </c>
      <c r="M70" s="60">
        <f t="shared" si="10"/>
        <v>799.17635658914719</v>
      </c>
      <c r="N70" s="61">
        <f t="shared" si="1"/>
        <v>-0.12240667931356919</v>
      </c>
      <c r="O70" s="61">
        <f t="shared" si="2"/>
        <v>-8.2696646830422771E-2</v>
      </c>
      <c r="P70" s="62">
        <f t="shared" si="3"/>
        <v>-0.16934366928025871</v>
      </c>
      <c r="Q70" s="62">
        <f t="shared" si="7"/>
        <v>4.9266761357046551E-2</v>
      </c>
      <c r="R70" s="63">
        <v>6.6780800000000001E-2</v>
      </c>
      <c r="S70" s="67">
        <f t="shared" si="8"/>
        <v>-0.12802802671303459</v>
      </c>
      <c r="T70" s="67">
        <f t="shared" si="8"/>
        <v>-1.3284042462878176E-2</v>
      </c>
      <c r="U70" s="67">
        <f t="shared" si="8"/>
        <v>-5.0508214929374073E-2</v>
      </c>
      <c r="V70" s="67">
        <f t="shared" si="8"/>
        <v>3.0714677767828436E-2</v>
      </c>
      <c r="W70" s="67">
        <f t="shared" si="8"/>
        <v>7.4774136357953935E-2</v>
      </c>
      <c r="X70" s="67">
        <f t="shared" si="8"/>
        <v>0.14962141430049125</v>
      </c>
    </row>
    <row r="71" spans="1:24">
      <c r="A71" s="57">
        <v>1978</v>
      </c>
      <c r="B71" s="65">
        <v>6.50928391167193E-2</v>
      </c>
      <c r="C71" s="65">
        <v>7.1783064516129036E-2</v>
      </c>
      <c r="D71" s="65">
        <v>-7.7758069075086478E-3</v>
      </c>
      <c r="E71" s="65">
        <v>3.1375849771690861E-2</v>
      </c>
      <c r="F71" s="65">
        <v>0.15723596053112443</v>
      </c>
      <c r="G71" s="65">
        <v>0.37011215519854512</v>
      </c>
      <c r="H71" s="59">
        <f t="shared" si="10"/>
        <v>5081.7684777098611</v>
      </c>
      <c r="I71" s="60">
        <f t="shared" si="10"/>
        <v>369.55344797433418</v>
      </c>
      <c r="J71" s="60">
        <f t="shared" si="10"/>
        <v>458.90104096930958</v>
      </c>
      <c r="K71" s="60">
        <f t="shared" si="10"/>
        <v>1216.9794721634289</v>
      </c>
      <c r="L71" s="60">
        <f t="shared" si="10"/>
        <v>650.90049668267682</v>
      </c>
      <c r="M71" s="60">
        <f t="shared" si="10"/>
        <v>1094.9612403100775</v>
      </c>
      <c r="N71" s="61">
        <f t="shared" si="1"/>
        <v>-6.6902253994097355E-3</v>
      </c>
      <c r="O71" s="61">
        <f t="shared" si="2"/>
        <v>7.2868646024227948E-2</v>
      </c>
      <c r="P71" s="62">
        <f t="shared" si="3"/>
        <v>3.3716989345028439E-2</v>
      </c>
      <c r="Q71" s="62">
        <f t="shared" si="7"/>
        <v>4.9741898913203242E-2</v>
      </c>
      <c r="R71" s="63">
        <v>8.9887599999999998E-2</v>
      </c>
      <c r="S71" s="67">
        <f t="shared" si="8"/>
        <v>-2.2749832994962582E-2</v>
      </c>
      <c r="T71" s="67">
        <f t="shared" si="8"/>
        <v>-1.6611378534695631E-2</v>
      </c>
      <c r="U71" s="67">
        <f t="shared" si="8"/>
        <v>-8.9608696261438969E-2</v>
      </c>
      <c r="V71" s="67">
        <f t="shared" si="8"/>
        <v>-5.3686040861744888E-2</v>
      </c>
      <c r="W71" s="67">
        <f t="shared" si="8"/>
        <v>6.1793858863175011E-2</v>
      </c>
      <c r="X71" s="67">
        <f t="shared" si="8"/>
        <v>0.25711326121936362</v>
      </c>
    </row>
    <row r="72" spans="1:24">
      <c r="A72" s="57">
        <v>1979</v>
      </c>
      <c r="B72" s="65">
        <v>0.18519490167516386</v>
      </c>
      <c r="C72" s="65">
        <v>0.10054274193548388</v>
      </c>
      <c r="D72" s="65">
        <v>6.7072031247235459E-3</v>
      </c>
      <c r="E72" s="65">
        <v>-2.0091101436615355E-2</v>
      </c>
      <c r="F72" s="65">
        <v>0.13742466907023854</v>
      </c>
      <c r="G72" s="65">
        <v>1.2654867256637168</v>
      </c>
      <c r="H72" s="59">
        <f t="shared" si="10"/>
        <v>6022.8860912752862</v>
      </c>
      <c r="I72" s="60">
        <f t="shared" si="10"/>
        <v>406.7093649253859</v>
      </c>
      <c r="J72" s="60">
        <f t="shared" si="10"/>
        <v>461.97898346523777</v>
      </c>
      <c r="K72" s="60">
        <f t="shared" si="10"/>
        <v>1192.5290141419148</v>
      </c>
      <c r="L72" s="60">
        <f t="shared" si="10"/>
        <v>740.35028203694753</v>
      </c>
      <c r="M72" s="60">
        <f t="shared" si="10"/>
        <v>2480.6201550387595</v>
      </c>
      <c r="N72" s="61">
        <f t="shared" si="1"/>
        <v>8.4652159739679989E-2</v>
      </c>
      <c r="O72" s="61">
        <f t="shared" si="2"/>
        <v>0.17848769855044033</v>
      </c>
      <c r="P72" s="62">
        <f t="shared" si="3"/>
        <v>0.20528600311177922</v>
      </c>
      <c r="Q72" s="62">
        <f t="shared" si="7"/>
        <v>5.2132252828986925E-2</v>
      </c>
      <c r="R72" s="63">
        <v>0.1325479</v>
      </c>
      <c r="S72" s="67">
        <f t="shared" si="8"/>
        <v>4.648545255804537E-2</v>
      </c>
      <c r="T72" s="67">
        <f t="shared" si="8"/>
        <v>-2.8259429967170679E-2</v>
      </c>
      <c r="U72" s="67">
        <f t="shared" si="8"/>
        <v>-0.11111291352469643</v>
      </c>
      <c r="V72" s="67">
        <f t="shared" si="8"/>
        <v>-0.13477487480804606</v>
      </c>
      <c r="W72" s="67">
        <f t="shared" si="8"/>
        <v>4.3060157281105127E-3</v>
      </c>
      <c r="X72" s="67">
        <f t="shared" si="8"/>
        <v>1.0003451736246358</v>
      </c>
    </row>
    <row r="73" spans="1:24">
      <c r="A73" s="57">
        <v>1980</v>
      </c>
      <c r="B73" s="65">
        <v>0.3173524550676301</v>
      </c>
      <c r="C73" s="65">
        <v>0.1139188</v>
      </c>
      <c r="D73" s="65">
        <v>-2.989744251999403E-2</v>
      </c>
      <c r="E73" s="65">
        <v>-3.3156783371910456E-2</v>
      </c>
      <c r="F73" s="65">
        <v>7.3968672635987165E-2</v>
      </c>
      <c r="G73" s="65">
        <v>0.15185546875</v>
      </c>
      <c r="H73" s="59">
        <f t="shared" si="10"/>
        <v>7934.2637789341807</v>
      </c>
      <c r="I73" s="60">
        <f t="shared" si="10"/>
        <v>453.04120772644796</v>
      </c>
      <c r="J73" s="60">
        <f t="shared" si="10"/>
        <v>448.16699336164055</v>
      </c>
      <c r="K73" s="60">
        <f t="shared" si="10"/>
        <v>1152.9885879552935</v>
      </c>
      <c r="L73" s="60">
        <f t="shared" si="10"/>
        <v>795.11300968489923</v>
      </c>
      <c r="M73" s="60">
        <f t="shared" si="10"/>
        <v>2857.3158914728679</v>
      </c>
      <c r="N73" s="61">
        <f t="shared" si="1"/>
        <v>0.20343365506763011</v>
      </c>
      <c r="O73" s="61">
        <f t="shared" si="2"/>
        <v>0.34724989758762415</v>
      </c>
      <c r="P73" s="62">
        <f t="shared" si="3"/>
        <v>0.35050923843954057</v>
      </c>
      <c r="Q73" s="62">
        <f t="shared" si="7"/>
        <v>5.7318705257589642E-2</v>
      </c>
      <c r="R73" s="63">
        <v>0.1235371</v>
      </c>
      <c r="S73" s="67">
        <f t="shared" si="8"/>
        <v>0.17250463297351737</v>
      </c>
      <c r="T73" s="67">
        <f t="shared" si="8"/>
        <v>-8.5607319954099648E-3</v>
      </c>
      <c r="U73" s="67">
        <f t="shared" si="8"/>
        <v>-0.13656384156784329</v>
      </c>
      <c r="V73" s="67">
        <f t="shared" si="8"/>
        <v>-0.13946480572106645</v>
      </c>
      <c r="W73" s="67">
        <f t="shared" si="8"/>
        <v>-4.4118193661796257E-2</v>
      </c>
      <c r="X73" s="67">
        <f t="shared" si="8"/>
        <v>2.5204658350845621E-2</v>
      </c>
    </row>
    <row r="74" spans="1:24">
      <c r="A74" s="57">
        <v>1981</v>
      </c>
      <c r="B74" s="65">
        <v>-4.7023902474955762E-2</v>
      </c>
      <c r="C74" s="65">
        <v>0.14036184738955823</v>
      </c>
      <c r="D74" s="65">
        <v>8.1992153358923542E-2</v>
      </c>
      <c r="E74" s="65">
        <v>8.4623994808912056E-2</v>
      </c>
      <c r="F74" s="65">
        <v>5.0950062475763724E-2</v>
      </c>
      <c r="G74" s="65">
        <v>-0.32598558711318359</v>
      </c>
      <c r="H74" s="59">
        <f t="shared" si="10"/>
        <v>7561.1637327830058</v>
      </c>
      <c r="I74" s="60">
        <f t="shared" si="10"/>
        <v>516.63090858652879</v>
      </c>
      <c r="J74" s="60">
        <f t="shared" si="10"/>
        <v>484.91317021175587</v>
      </c>
      <c r="K74" s="60">
        <f t="shared" si="10"/>
        <v>1250.5590882371571</v>
      </c>
      <c r="L74" s="60">
        <f t="shared" si="10"/>
        <v>835.62406720363742</v>
      </c>
      <c r="M74" s="60">
        <f t="shared" si="10"/>
        <v>1925.8720930232555</v>
      </c>
      <c r="N74" s="61">
        <f t="shared" si="1"/>
        <v>-0.18738574986451401</v>
      </c>
      <c r="O74" s="61">
        <f t="shared" si="2"/>
        <v>-0.12901605583387932</v>
      </c>
      <c r="P74" s="62">
        <f t="shared" si="3"/>
        <v>-0.13164789728386783</v>
      </c>
      <c r="Q74" s="62">
        <f t="shared" si="7"/>
        <v>5.3730990468644491E-2</v>
      </c>
      <c r="R74" s="63">
        <v>8.9120399999999989E-2</v>
      </c>
      <c r="S74" s="67">
        <f t="shared" si="8"/>
        <v>-0.12500390450399779</v>
      </c>
      <c r="T74" s="67">
        <f t="shared" si="8"/>
        <v>4.7048469011835792E-2</v>
      </c>
      <c r="U74" s="67">
        <f t="shared" si="8"/>
        <v>-6.5449574180012071E-3</v>
      </c>
      <c r="V74" s="67">
        <f t="shared" si="8"/>
        <v>-4.1284739419884531E-3</v>
      </c>
      <c r="W74" s="67">
        <f t="shared" si="8"/>
        <v>-3.504694019525878E-2</v>
      </c>
      <c r="X74" s="67">
        <f t="shared" si="8"/>
        <v>-0.38113874931842584</v>
      </c>
    </row>
    <row r="75" spans="1:24">
      <c r="A75" s="57">
        <v>1982</v>
      </c>
      <c r="B75" s="65">
        <v>0.20419055079559353</v>
      </c>
      <c r="C75" s="65">
        <v>0.10603413654618475</v>
      </c>
      <c r="D75" s="65">
        <v>0.32814549486295586</v>
      </c>
      <c r="E75" s="65">
        <v>0.2905245565590866</v>
      </c>
      <c r="F75" s="65">
        <v>5.6372096837011831E-3</v>
      </c>
      <c r="G75" s="65">
        <v>0.15622641509433977</v>
      </c>
      <c r="H75" s="59">
        <f t="shared" si="10"/>
        <v>9105.0819200356327</v>
      </c>
      <c r="I75" s="60">
        <f t="shared" si="10"/>
        <v>571.41142089157233</v>
      </c>
      <c r="J75" s="60">
        <f t="shared" si="10"/>
        <v>644.03524241645721</v>
      </c>
      <c r="K75" s="60">
        <f t="shared" si="10"/>
        <v>1613.8772127981929</v>
      </c>
      <c r="L75" s="60">
        <f t="shared" si="10"/>
        <v>840.33465528721149</v>
      </c>
      <c r="M75" s="60">
        <f t="shared" si="10"/>
        <v>2226.7441860465115</v>
      </c>
      <c r="N75" s="61">
        <f t="shared" si="1"/>
        <v>9.8156414249408783E-2</v>
      </c>
      <c r="O75" s="61">
        <f t="shared" si="2"/>
        <v>-0.12395494406736232</v>
      </c>
      <c r="P75" s="62">
        <f t="shared" si="3"/>
        <v>-8.6334005763493066E-2</v>
      </c>
      <c r="Q75" s="62">
        <f t="shared" si="7"/>
        <v>5.1038688692139678E-2</v>
      </c>
      <c r="R75" s="63">
        <v>3.8257199999999998E-2</v>
      </c>
      <c r="S75" s="67">
        <f t="shared" si="8"/>
        <v>0.15981911880369659</v>
      </c>
      <c r="T75" s="67">
        <f t="shared" si="8"/>
        <v>6.5279524713322212E-2</v>
      </c>
      <c r="U75" s="67">
        <f t="shared" si="8"/>
        <v>0.27920663094169318</v>
      </c>
      <c r="V75" s="67">
        <f t="shared" si="8"/>
        <v>0.2429719308077869</v>
      </c>
      <c r="W75" s="67">
        <f t="shared" si="8"/>
        <v>-3.1418024663155686E-2</v>
      </c>
      <c r="X75" s="67">
        <f t="shared" si="8"/>
        <v>0.11362234241606006</v>
      </c>
    </row>
    <row r="76" spans="1:24">
      <c r="A76" s="57">
        <v>1983</v>
      </c>
      <c r="B76" s="65">
        <v>0.22337155858930619</v>
      </c>
      <c r="C76" s="65">
        <v>8.61764E-2</v>
      </c>
      <c r="D76" s="65">
        <v>3.2002094451429264E-2</v>
      </c>
      <c r="E76" s="65">
        <v>0.16194289622798344</v>
      </c>
      <c r="F76" s="65">
        <v>4.7494802071017972E-2</v>
      </c>
      <c r="G76" s="65">
        <v>-0.16797214969538743</v>
      </c>
      <c r="H76" s="59">
        <f t="shared" si="10"/>
        <v>11138.898259597305</v>
      </c>
      <c r="I76" s="60">
        <f t="shared" si="10"/>
        <v>620.65360006289291</v>
      </c>
      <c r="J76" s="60">
        <f t="shared" si="10"/>
        <v>664.64571907431775</v>
      </c>
      <c r="K76" s="60">
        <f t="shared" si="10"/>
        <v>1875.2331627950778</v>
      </c>
      <c r="L76" s="60">
        <f t="shared" si="10"/>
        <v>880.24618341349469</v>
      </c>
      <c r="M76" s="60">
        <f t="shared" si="10"/>
        <v>1852.7131782945733</v>
      </c>
      <c r="N76" s="61">
        <f t="shared" si="1"/>
        <v>0.1371951585893062</v>
      </c>
      <c r="O76" s="61">
        <f t="shared" si="2"/>
        <v>0.19136946413787692</v>
      </c>
      <c r="P76" s="62">
        <f t="shared" si="3"/>
        <v>6.1428662361322744E-2</v>
      </c>
      <c r="Q76" s="62">
        <f t="shared" si="7"/>
        <v>5.3402830654563971E-2</v>
      </c>
      <c r="R76" s="63">
        <v>3.7871000000000002E-2</v>
      </c>
      <c r="S76" s="67">
        <f t="shared" si="8"/>
        <v>0.17873180635098795</v>
      </c>
      <c r="T76" s="67">
        <f t="shared" si="8"/>
        <v>4.6542778437782761E-2</v>
      </c>
      <c r="U76" s="67">
        <f t="shared" si="8"/>
        <v>-5.654754346706703E-3</v>
      </c>
      <c r="V76" s="67">
        <f t="shared" si="8"/>
        <v>0.11954462185375969</v>
      </c>
      <c r="W76" s="67">
        <f t="shared" si="8"/>
        <v>9.272637997417732E-3</v>
      </c>
      <c r="X76" s="67">
        <f t="shared" si="8"/>
        <v>-0.19833211419857322</v>
      </c>
    </row>
    <row r="77" spans="1:24">
      <c r="A77" s="57">
        <v>1984</v>
      </c>
      <c r="B77" s="65">
        <v>6.14614199963621E-2</v>
      </c>
      <c r="C77" s="65">
        <v>9.5402811244979929E-2</v>
      </c>
      <c r="D77" s="65">
        <v>0.13733364344102345</v>
      </c>
      <c r="E77" s="65">
        <v>0.15619207332454216</v>
      </c>
      <c r="F77" s="65">
        <v>4.6781349731454869E-2</v>
      </c>
      <c r="G77" s="65">
        <v>-0.193776150627615</v>
      </c>
      <c r="H77" s="59">
        <f t="shared" si="10"/>
        <v>11823.510763827162</v>
      </c>
      <c r="I77" s="60">
        <f t="shared" si="10"/>
        <v>679.86569831821032</v>
      </c>
      <c r="J77" s="60">
        <f t="shared" si="10"/>
        <v>755.92393727227272</v>
      </c>
      <c r="K77" s="60">
        <f t="shared" si="10"/>
        <v>2168.1297184589794</v>
      </c>
      <c r="L77" s="60">
        <f t="shared" si="10"/>
        <v>921.4252879695398</v>
      </c>
      <c r="M77" s="60">
        <f t="shared" si="10"/>
        <v>1493.7015503875966</v>
      </c>
      <c r="N77" s="61">
        <f t="shared" si="1"/>
        <v>-3.3941391248617829E-2</v>
      </c>
      <c r="O77" s="61">
        <f t="shared" si="2"/>
        <v>-7.5872223444661352E-2</v>
      </c>
      <c r="P77" s="62">
        <f t="shared" si="3"/>
        <v>-9.4730653328180064E-2</v>
      </c>
      <c r="Q77" s="62">
        <f t="shared" si="7"/>
        <v>5.1212126318051387E-2</v>
      </c>
      <c r="R77" s="63">
        <v>4.0433899999999995E-2</v>
      </c>
      <c r="S77" s="67">
        <f t="shared" si="8"/>
        <v>2.0210337241377996E-2</v>
      </c>
      <c r="T77" s="67">
        <f t="shared" si="8"/>
        <v>5.2832679947260264E-2</v>
      </c>
      <c r="U77" s="67">
        <f t="shared" si="8"/>
        <v>9.3133973663318326E-2</v>
      </c>
      <c r="V77" s="67">
        <f t="shared" si="8"/>
        <v>0.11125951713467042</v>
      </c>
      <c r="W77" s="67">
        <f t="shared" si="8"/>
        <v>6.1007717371135417E-3</v>
      </c>
      <c r="X77" s="67">
        <f t="shared" si="8"/>
        <v>-0.22510805407975942</v>
      </c>
    </row>
    <row r="78" spans="1:24">
      <c r="A78" s="57">
        <v>1985</v>
      </c>
      <c r="B78" s="65">
        <v>0.31235149485768948</v>
      </c>
      <c r="C78" s="65">
        <v>7.4711290322580642E-2</v>
      </c>
      <c r="D78" s="65">
        <v>0.2571248821260641</v>
      </c>
      <c r="E78" s="65">
        <v>0.23862641849916477</v>
      </c>
      <c r="F78" s="65">
        <v>7.4713712076145189E-2</v>
      </c>
      <c r="G78" s="65">
        <v>6.0006487187804103E-2</v>
      </c>
      <c r="H78" s="59">
        <f t="shared" si="10"/>
        <v>15516.602025374559</v>
      </c>
      <c r="I78" s="60">
        <f t="shared" si="10"/>
        <v>730.65934188562619</v>
      </c>
      <c r="J78" s="60">
        <f t="shared" si="10"/>
        <v>950.2907905396761</v>
      </c>
      <c r="K78" s="60">
        <f t="shared" si="10"/>
        <v>2685.5027480164476</v>
      </c>
      <c r="L78" s="60">
        <f t="shared" si="10"/>
        <v>990.26839163457521</v>
      </c>
      <c r="M78" s="60">
        <f t="shared" si="10"/>
        <v>1583.333333333333</v>
      </c>
      <c r="N78" s="61">
        <f t="shared" si="1"/>
        <v>0.23764020453510884</v>
      </c>
      <c r="O78" s="61">
        <f t="shared" si="2"/>
        <v>5.522661273162538E-2</v>
      </c>
      <c r="P78" s="62">
        <f t="shared" si="3"/>
        <v>7.372507635852471E-2</v>
      </c>
      <c r="Q78" s="62">
        <f t="shared" si="7"/>
        <v>5.1284365102581608E-2</v>
      </c>
      <c r="R78" s="63">
        <v>3.7914699999999996E-2</v>
      </c>
      <c r="S78" s="67">
        <f t="shared" si="8"/>
        <v>0.26441170440855077</v>
      </c>
      <c r="T78" s="67">
        <f t="shared" si="8"/>
        <v>3.5452422364362635E-2</v>
      </c>
      <c r="U78" s="67">
        <f t="shared" si="8"/>
        <v>0.21120250260070894</v>
      </c>
      <c r="V78" s="67">
        <f t="shared" si="8"/>
        <v>0.19337978207569928</v>
      </c>
      <c r="W78" s="67">
        <f t="shared" si="8"/>
        <v>3.5454755652025272E-2</v>
      </c>
      <c r="X78" s="67">
        <f t="shared" si="8"/>
        <v>2.1284781097911099E-2</v>
      </c>
    </row>
    <row r="79" spans="1:24">
      <c r="A79" s="57">
        <v>1986</v>
      </c>
      <c r="B79" s="65">
        <v>0.18494578758046187</v>
      </c>
      <c r="C79" s="65">
        <v>5.9692800000000004E-2</v>
      </c>
      <c r="D79" s="65">
        <v>0.24284215141767618</v>
      </c>
      <c r="E79" s="65">
        <v>0.21354060117746398</v>
      </c>
      <c r="F79" s="65">
        <v>9.6123575098164826E-2</v>
      </c>
      <c r="G79" s="65">
        <v>0.18956548347613222</v>
      </c>
      <c r="H79" s="59">
        <f t="shared" si="10"/>
        <v>18386.332207530046</v>
      </c>
      <c r="I79" s="60">
        <f t="shared" si="10"/>
        <v>774.27444384893658</v>
      </c>
      <c r="J79" s="60">
        <f t="shared" si="10"/>
        <v>1181.0614505867354</v>
      </c>
      <c r="K79" s="60">
        <f t="shared" si="10"/>
        <v>3258.9666192916111</v>
      </c>
      <c r="L79" s="60">
        <f t="shared" si="10"/>
        <v>1085.4565297452002</v>
      </c>
      <c r="M79" s="60">
        <f t="shared" si="10"/>
        <v>1883.4786821705422</v>
      </c>
      <c r="N79" s="61">
        <f t="shared" si="1"/>
        <v>0.12525298758046188</v>
      </c>
      <c r="O79" s="61">
        <f t="shared" si="2"/>
        <v>-5.7896363837214304E-2</v>
      </c>
      <c r="P79" s="62">
        <f t="shared" si="3"/>
        <v>-2.8594813597002111E-2</v>
      </c>
      <c r="Q79" s="62">
        <f t="shared" si="7"/>
        <v>4.9663565599739057E-2</v>
      </c>
      <c r="R79" s="63">
        <v>1.1872100000000002E-2</v>
      </c>
      <c r="S79" s="67">
        <f t="shared" si="8"/>
        <v>0.17104304741721998</v>
      </c>
      <c r="T79" s="67">
        <f t="shared" si="8"/>
        <v>4.7259628959035682E-2</v>
      </c>
      <c r="U79" s="67">
        <f t="shared" si="8"/>
        <v>0.22826012439484811</v>
      </c>
      <c r="V79" s="67">
        <f t="shared" si="8"/>
        <v>0.19930236358672593</v>
      </c>
      <c r="W79" s="67">
        <f t="shared" si="8"/>
        <v>8.3262968806200766E-2</v>
      </c>
      <c r="X79" s="67">
        <f t="shared" si="8"/>
        <v>0.17560854131281256</v>
      </c>
    </row>
    <row r="80" spans="1:24">
      <c r="A80" s="57">
        <v>1987</v>
      </c>
      <c r="B80" s="65">
        <v>5.8127216418218712E-2</v>
      </c>
      <c r="C80" s="65">
        <v>5.7773600000000001E-2</v>
      </c>
      <c r="D80" s="65">
        <v>-4.9605089379262279E-2</v>
      </c>
      <c r="E80" s="65">
        <v>2.8125853555458283E-2</v>
      </c>
      <c r="F80" s="65">
        <v>7.852543870723383E-2</v>
      </c>
      <c r="G80" s="65">
        <v>0.24527331189710622</v>
      </c>
      <c r="H80" s="59">
        <f t="shared" si="10"/>
        <v>19455.07851889441</v>
      </c>
      <c r="I80" s="60">
        <f t="shared" si="10"/>
        <v>819.00706585808746</v>
      </c>
      <c r="J80" s="60">
        <f t="shared" si="10"/>
        <v>1122.4747917679792</v>
      </c>
      <c r="K80" s="60">
        <f t="shared" si="10"/>
        <v>3350.6278371679336</v>
      </c>
      <c r="L80" s="60">
        <f t="shared" si="10"/>
        <v>1170.6924799410738</v>
      </c>
      <c r="M80" s="60">
        <f t="shared" si="10"/>
        <v>2345.4457364341083</v>
      </c>
      <c r="N80" s="61">
        <f t="shared" si="1"/>
        <v>3.536164182187107E-4</v>
      </c>
      <c r="O80" s="61">
        <f t="shared" si="2"/>
        <v>0.107732305797481</v>
      </c>
      <c r="P80" s="62">
        <f t="shared" si="3"/>
        <v>3.0001362862760429E-2</v>
      </c>
      <c r="Q80" s="62">
        <f t="shared" si="7"/>
        <v>5.0693590437507208E-2</v>
      </c>
      <c r="R80" s="63">
        <v>4.33213E-2</v>
      </c>
      <c r="S80" s="67">
        <f t="shared" si="8"/>
        <v>1.419113787691173E-2</v>
      </c>
      <c r="T80" s="67">
        <f t="shared" si="8"/>
        <v>1.3852204493476794E-2</v>
      </c>
      <c r="U80" s="67">
        <f t="shared" si="8"/>
        <v>-8.906785414930396E-2</v>
      </c>
      <c r="V80" s="67">
        <f t="shared" si="8"/>
        <v>-1.4564493645957022E-2</v>
      </c>
      <c r="W80" s="67">
        <f t="shared" si="8"/>
        <v>3.3742375150621395E-2</v>
      </c>
      <c r="X80" s="67">
        <f t="shared" si="8"/>
        <v>0.19356646116312048</v>
      </c>
    </row>
    <row r="81" spans="1:24">
      <c r="A81" s="57">
        <v>1988</v>
      </c>
      <c r="B81" s="65">
        <v>0.16537192812044688</v>
      </c>
      <c r="C81" s="65">
        <v>6.6684400000000005E-2</v>
      </c>
      <c r="D81" s="65">
        <v>8.2235958434841674E-2</v>
      </c>
      <c r="E81" s="65">
        <v>0.14382285179475657</v>
      </c>
      <c r="F81" s="65">
        <v>7.2208240664871859E-2</v>
      </c>
      <c r="G81" s="65">
        <v>-0.15255112580045449</v>
      </c>
      <c r="H81" s="59">
        <f t="shared" si="10"/>
        <v>22672.402365298665</v>
      </c>
      <c r="I81" s="60">
        <f t="shared" si="10"/>
        <v>873.62206064059444</v>
      </c>
      <c r="J81" s="60">
        <f t="shared" si="10"/>
        <v>1214.7825820879684</v>
      </c>
      <c r="K81" s="60">
        <f t="shared" si="10"/>
        <v>3832.5246880123232</v>
      </c>
      <c r="L81" s="60">
        <f t="shared" si="10"/>
        <v>1255.2261242772145</v>
      </c>
      <c r="M81" s="60">
        <f t="shared" si="10"/>
        <v>1987.645348837209</v>
      </c>
      <c r="N81" s="61">
        <f t="shared" si="1"/>
        <v>9.8687528120446871E-2</v>
      </c>
      <c r="O81" s="61">
        <f t="shared" si="2"/>
        <v>8.3135969685605202E-2</v>
      </c>
      <c r="P81" s="62">
        <f t="shared" si="3"/>
        <v>2.1549076325690308E-2</v>
      </c>
      <c r="Q81" s="62">
        <f t="shared" si="7"/>
        <v>5.1199933578993884E-2</v>
      </c>
      <c r="R81" s="63">
        <v>4.41176E-2</v>
      </c>
      <c r="S81" s="67">
        <f t="shared" si="8"/>
        <v>0.11613091103956763</v>
      </c>
      <c r="T81" s="67">
        <f t="shared" si="8"/>
        <v>2.1613274213555966E-2</v>
      </c>
      <c r="U81" s="67">
        <f t="shared" si="8"/>
        <v>3.6507725216816223E-2</v>
      </c>
      <c r="V81" s="67">
        <f t="shared" si="8"/>
        <v>9.5492358135478739E-2</v>
      </c>
      <c r="W81" s="67">
        <f t="shared" si="8"/>
        <v>2.6903713398636064E-2</v>
      </c>
      <c r="X81" s="67">
        <f t="shared" si="8"/>
        <v>-0.1883587881292822</v>
      </c>
    </row>
    <row r="82" spans="1:24">
      <c r="A82" s="57">
        <v>1989</v>
      </c>
      <c r="B82" s="65">
        <v>0.31475183638196724</v>
      </c>
      <c r="C82" s="65">
        <v>8.111560000000001E-2</v>
      </c>
      <c r="D82" s="65">
        <v>0.17693647159446219</v>
      </c>
      <c r="E82" s="65">
        <v>0.15948974901357249</v>
      </c>
      <c r="F82" s="65">
        <v>4.3928001200889799E-2</v>
      </c>
      <c r="G82" s="65">
        <v>-2.8397318708104802E-2</v>
      </c>
      <c r="H82" s="59">
        <f t="shared" si="10"/>
        <v>29808.582644967279</v>
      </c>
      <c r="I82" s="60">
        <f t="shared" si="10"/>
        <v>944.48643826269256</v>
      </c>
      <c r="J82" s="60">
        <f t="shared" si="10"/>
        <v>1429.7219259170236</v>
      </c>
      <c r="K82" s="60">
        <f t="shared" si="10"/>
        <v>4443.773088591729</v>
      </c>
      <c r="L82" s="60">
        <f t="shared" si="10"/>
        <v>1310.3656989718522</v>
      </c>
      <c r="M82" s="60">
        <f t="shared" si="10"/>
        <v>1931.2015503875966</v>
      </c>
      <c r="N82" s="61">
        <f t="shared" si="1"/>
        <v>0.23363623638196723</v>
      </c>
      <c r="O82" s="61">
        <f t="shared" si="2"/>
        <v>0.13781536478750506</v>
      </c>
      <c r="P82" s="62">
        <f t="shared" si="3"/>
        <v>0.15526208736839475</v>
      </c>
      <c r="Q82" s="62">
        <f t="shared" si="7"/>
        <v>5.240982169336883E-2</v>
      </c>
      <c r="R82" s="63">
        <v>4.6396E-2</v>
      </c>
      <c r="S82" s="67">
        <f t="shared" si="8"/>
        <v>0.25645724599670405</v>
      </c>
      <c r="T82" s="67">
        <f t="shared" si="8"/>
        <v>3.3180172707082178E-2</v>
      </c>
      <c r="U82" s="67">
        <f t="shared" si="8"/>
        <v>0.12475245661724821</v>
      </c>
      <c r="V82" s="67">
        <f t="shared" si="8"/>
        <v>0.10807930173048486</v>
      </c>
      <c r="W82" s="67">
        <f t="shared" si="8"/>
        <v>-2.3585705594347806E-3</v>
      </c>
      <c r="X82" s="67">
        <f t="shared" si="8"/>
        <v>-7.1477068631861096E-2</v>
      </c>
    </row>
    <row r="83" spans="1:24">
      <c r="A83" s="57">
        <v>1990</v>
      </c>
      <c r="B83" s="65">
        <v>-3.0644516129032118E-2</v>
      </c>
      <c r="C83" s="65">
        <v>7.4964799999999998E-2</v>
      </c>
      <c r="D83" s="65">
        <v>6.2353753335533363E-2</v>
      </c>
      <c r="E83" s="65">
        <v>6.2807165619478592E-2</v>
      </c>
      <c r="F83" s="65">
        <v>-6.8759967580853676E-3</v>
      </c>
      <c r="G83" s="65">
        <v>-3.1108881083793394E-2</v>
      </c>
      <c r="H83" s="59">
        <f t="shared" si="10"/>
        <v>28895.113053319994</v>
      </c>
      <c r="I83" s="60">
        <f t="shared" si="10"/>
        <v>1015.2896752097677</v>
      </c>
      <c r="J83" s="60">
        <f t="shared" si="10"/>
        <v>1518.8704542240573</v>
      </c>
      <c r="K83" s="60">
        <f t="shared" si="10"/>
        <v>4722.8738809422921</v>
      </c>
      <c r="L83" s="60">
        <f t="shared" si="10"/>
        <v>1301.3556286738155</v>
      </c>
      <c r="M83" s="60">
        <f t="shared" si="10"/>
        <v>1871.1240310077515</v>
      </c>
      <c r="N83" s="61">
        <f t="shared" si="1"/>
        <v>-0.10560931612903211</v>
      </c>
      <c r="O83" s="61">
        <f t="shared" si="2"/>
        <v>-9.2998269464565478E-2</v>
      </c>
      <c r="P83" s="62">
        <f t="shared" si="3"/>
        <v>-9.3451681748510707E-2</v>
      </c>
      <c r="Q83" s="62">
        <f t="shared" si="7"/>
        <v>4.9979953137364364E-2</v>
      </c>
      <c r="R83" s="63">
        <v>6.2549499999999994E-2</v>
      </c>
      <c r="S83" s="67">
        <f t="shared" si="8"/>
        <v>-8.7707929022631026E-2</v>
      </c>
      <c r="T83" s="67">
        <f t="shared" si="8"/>
        <v>1.1684443877673534E-2</v>
      </c>
      <c r="U83" s="67">
        <f t="shared" si="8"/>
        <v>-1.8422357214098461E-4</v>
      </c>
      <c r="V83" s="67">
        <f t="shared" si="8"/>
        <v>2.4249752080129916E-4</v>
      </c>
      <c r="W83" s="67">
        <f t="shared" si="8"/>
        <v>-6.5338599997539326E-2</v>
      </c>
      <c r="X83" s="67">
        <f t="shared" si="8"/>
        <v>-8.8144958031407872E-2</v>
      </c>
    </row>
    <row r="84" spans="1:24">
      <c r="A84" s="57">
        <v>1991</v>
      </c>
      <c r="B84" s="65">
        <v>0.30234843134879757</v>
      </c>
      <c r="C84" s="65">
        <v>5.3756000000000005E-2</v>
      </c>
      <c r="D84" s="65">
        <v>0.15004510019517303</v>
      </c>
      <c r="E84" s="65">
        <v>0.18928042873950041</v>
      </c>
      <c r="F84" s="65">
        <v>-1.6979939977885827E-3</v>
      </c>
      <c r="G84" s="65">
        <v>-8.5577421025375466E-2</v>
      </c>
      <c r="H84" s="59">
        <f t="shared" si="10"/>
        <v>37631.505158637461</v>
      </c>
      <c r="I84" s="60">
        <f t="shared" si="10"/>
        <v>1069.8675869903439</v>
      </c>
      <c r="J84" s="60">
        <f t="shared" si="10"/>
        <v>1746.769523711594</v>
      </c>
      <c r="K84" s="60">
        <f t="shared" si="10"/>
        <v>5616.8214740096373</v>
      </c>
      <c r="L84" s="60">
        <f t="shared" si="10"/>
        <v>1299.1459346273391</v>
      </c>
      <c r="M84" s="60">
        <f t="shared" si="10"/>
        <v>1710.9980620155034</v>
      </c>
      <c r="N84" s="61">
        <f t="shared" si="1"/>
        <v>0.24859243134879758</v>
      </c>
      <c r="O84" s="61">
        <f t="shared" si="2"/>
        <v>0.15230333115362454</v>
      </c>
      <c r="P84" s="62">
        <f t="shared" si="3"/>
        <v>0.11306800260929717</v>
      </c>
      <c r="Q84" s="62">
        <f t="shared" si="7"/>
        <v>5.13850639844049E-2</v>
      </c>
      <c r="R84" s="63">
        <v>2.9806300000000001E-2</v>
      </c>
      <c r="S84" s="67">
        <f t="shared" si="8"/>
        <v>0.26465378134586826</v>
      </c>
      <c r="T84" s="67">
        <f t="shared" si="8"/>
        <v>2.3256509500864331E-2</v>
      </c>
      <c r="U84" s="67">
        <f t="shared" si="8"/>
        <v>0.11675865664753959</v>
      </c>
      <c r="V84" s="67">
        <f t="shared" si="8"/>
        <v>0.15485837359851118</v>
      </c>
      <c r="W84" s="67">
        <f t="shared" si="8"/>
        <v>-3.0592446363737036E-2</v>
      </c>
      <c r="X84" s="67">
        <f t="shared" si="8"/>
        <v>-0.1120441009395412</v>
      </c>
    </row>
    <row r="85" spans="1:24">
      <c r="A85" s="57">
        <v>1992</v>
      </c>
      <c r="B85" s="65">
        <v>7.493727972380064E-2</v>
      </c>
      <c r="C85" s="65">
        <v>3.4313147410358569E-2</v>
      </c>
      <c r="D85" s="65">
        <v>9.3616373162079422E-2</v>
      </c>
      <c r="E85" s="65">
        <v>0.11305244549445928</v>
      </c>
      <c r="F85" s="65">
        <v>8.1747821156863409E-3</v>
      </c>
      <c r="G85" s="65">
        <v>-5.7341073198357684E-2</v>
      </c>
      <c r="H85" s="59">
        <f t="shared" si="10"/>
        <v>40451.507787137925</v>
      </c>
      <c r="I85" s="60">
        <f t="shared" si="10"/>
        <v>1106.5781112123082</v>
      </c>
      <c r="J85" s="60">
        <f t="shared" si="10"/>
        <v>1910.2957512715263</v>
      </c>
      <c r="K85" s="60">
        <f t="shared" si="10"/>
        <v>6251.8168775522199</v>
      </c>
      <c r="L85" s="60">
        <f t="shared" si="10"/>
        <v>1309.7661695793972</v>
      </c>
      <c r="M85" s="60">
        <f t="shared" si="10"/>
        <v>1612.8875968992243</v>
      </c>
      <c r="N85" s="61">
        <f t="shared" ref="N85:N114" si="11">B85-C85</f>
        <v>4.0624132313442071E-2</v>
      </c>
      <c r="O85" s="61">
        <f t="shared" ref="O85:O114" si="12">B85-D85</f>
        <v>-1.8679093438278782E-2</v>
      </c>
      <c r="P85" s="62">
        <f t="shared" ref="P85:P115" si="13">B85-E85</f>
        <v>-3.8115165770658641E-2</v>
      </c>
      <c r="Q85" s="62">
        <f t="shared" si="7"/>
        <v>5.0319857010869606E-2</v>
      </c>
      <c r="R85" s="63">
        <v>2.9667099999999998E-2</v>
      </c>
      <c r="S85" s="67">
        <f t="shared" ref="S85:X115" si="14">(1+B85)/(1+$R85)-1</f>
        <v>4.3965840730271655E-2</v>
      </c>
      <c r="T85" s="67">
        <f t="shared" si="14"/>
        <v>4.5121839965156507E-3</v>
      </c>
      <c r="U85" s="67">
        <f t="shared" si="14"/>
        <v>6.2106746114428013E-2</v>
      </c>
      <c r="V85" s="67">
        <f t="shared" si="14"/>
        <v>8.0982820073069561E-2</v>
      </c>
      <c r="W85" s="67">
        <f t="shared" si="14"/>
        <v>-2.0873074301697714E-2</v>
      </c>
      <c r="X85" s="67">
        <f t="shared" si="14"/>
        <v>-8.4501265698746386E-2</v>
      </c>
    </row>
    <row r="86" spans="1:24">
      <c r="A86" s="57">
        <v>1993</v>
      </c>
      <c r="B86" s="65">
        <v>9.96705147919488E-2</v>
      </c>
      <c r="C86" s="65">
        <v>2.9971199999999996E-2</v>
      </c>
      <c r="D86" s="65">
        <v>0.14210957589263107</v>
      </c>
      <c r="E86" s="65">
        <v>0.15472450683005834</v>
      </c>
      <c r="F86" s="65">
        <v>2.1565986163242234E-2</v>
      </c>
      <c r="G86" s="65">
        <v>0.17677981375788532</v>
      </c>
      <c r="H86" s="59">
        <f t="shared" ref="H86:M101" si="15">H85*(1+B86)</f>
        <v>44483.33039239249</v>
      </c>
      <c r="I86" s="60">
        <f t="shared" si="15"/>
        <v>1139.7435850990746</v>
      </c>
      <c r="J86" s="60">
        <f t="shared" si="15"/>
        <v>2181.7670703142176</v>
      </c>
      <c r="K86" s="60">
        <f t="shared" si="15"/>
        <v>7219.1261607233218</v>
      </c>
      <c r="L86" s="60">
        <f t="shared" si="15"/>
        <v>1338.0125686696292</v>
      </c>
      <c r="M86" s="60">
        <f t="shared" si="15"/>
        <v>1898.0135658914724</v>
      </c>
      <c r="N86" s="61">
        <f t="shared" si="11"/>
        <v>6.9699314791948797E-2</v>
      </c>
      <c r="O86" s="61">
        <f t="shared" si="12"/>
        <v>-4.2439061100682268E-2</v>
      </c>
      <c r="P86" s="62">
        <f t="shared" si="13"/>
        <v>-5.5053992038109539E-2</v>
      </c>
      <c r="Q86" s="62">
        <f t="shared" si="7"/>
        <v>4.8975937931758473E-2</v>
      </c>
      <c r="R86" s="63">
        <v>2.8109600000000002E-2</v>
      </c>
      <c r="S86" s="67">
        <f t="shared" si="14"/>
        <v>6.9604363962702642E-2</v>
      </c>
      <c r="T86" s="67">
        <f t="shared" si="14"/>
        <v>1.8107018940394237E-3</v>
      </c>
      <c r="U86" s="67">
        <f t="shared" si="14"/>
        <v>0.11088309640589955</v>
      </c>
      <c r="V86" s="67">
        <f t="shared" si="14"/>
        <v>0.12315312183648341</v>
      </c>
      <c r="W86" s="67">
        <f t="shared" si="14"/>
        <v>-6.3647045380743617E-3</v>
      </c>
      <c r="X86" s="67">
        <f t="shared" si="14"/>
        <v>0.14460541342857347</v>
      </c>
    </row>
    <row r="87" spans="1:24">
      <c r="A87" s="57">
        <v>1994</v>
      </c>
      <c r="B87" s="65">
        <v>1.3259206774573897E-2</v>
      </c>
      <c r="C87" s="65">
        <v>4.2522489959839357E-2</v>
      </c>
      <c r="D87" s="65">
        <v>-8.0366555509985921E-2</v>
      </c>
      <c r="E87" s="65">
        <v>-9.6826953788543557E-3</v>
      </c>
      <c r="F87" s="65">
        <v>2.5156185989348767E-2</v>
      </c>
      <c r="G87" s="65">
        <v>-2.1697511167836581E-2</v>
      </c>
      <c r="H87" s="59">
        <f t="shared" si="15"/>
        <v>45073.144068086905</v>
      </c>
      <c r="I87" s="60">
        <f t="shared" si="15"/>
        <v>1188.2083202532413</v>
      </c>
      <c r="J87" s="60">
        <f t="shared" si="15"/>
        <v>2006.4259659479505</v>
      </c>
      <c r="K87" s="60">
        <f t="shared" si="15"/>
        <v>7149.2255612075196</v>
      </c>
      <c r="L87" s="60">
        <f t="shared" si="15"/>
        <v>1371.6718617031686</v>
      </c>
      <c r="M87" s="60">
        <f t="shared" si="15"/>
        <v>1856.8313953488368</v>
      </c>
      <c r="N87" s="61">
        <f t="shared" si="11"/>
        <v>-2.926328318526546E-2</v>
      </c>
      <c r="O87" s="61">
        <f t="shared" si="12"/>
        <v>9.3625762284559821E-2</v>
      </c>
      <c r="P87" s="62">
        <f t="shared" si="13"/>
        <v>2.2941902153428253E-2</v>
      </c>
      <c r="Q87" s="62">
        <f t="shared" si="7"/>
        <v>4.9718636171719899E-2</v>
      </c>
      <c r="R87" s="63">
        <v>2.5974000000000001E-2</v>
      </c>
      <c r="S87" s="67">
        <f t="shared" si="14"/>
        <v>-1.2392900039792543E-2</v>
      </c>
      <c r="T87" s="67">
        <f t="shared" si="14"/>
        <v>1.6129541255274882E-2</v>
      </c>
      <c r="U87" s="67">
        <f t="shared" si="14"/>
        <v>-0.10364839217171773</v>
      </c>
      <c r="V87" s="67">
        <f t="shared" si="14"/>
        <v>-3.4753995109870539E-2</v>
      </c>
      <c r="W87" s="67">
        <f t="shared" si="14"/>
        <v>-7.9710987866277172E-4</v>
      </c>
      <c r="X87" s="67">
        <f t="shared" si="14"/>
        <v>-4.6464638643704981E-2</v>
      </c>
    </row>
    <row r="88" spans="1:24">
      <c r="A88" s="57">
        <v>1995</v>
      </c>
      <c r="B88" s="65">
        <v>0.37195198902606308</v>
      </c>
      <c r="C88" s="65">
        <v>5.4896E-2</v>
      </c>
      <c r="D88" s="65">
        <v>0.23480780112538907</v>
      </c>
      <c r="E88" s="65">
        <v>0.21287256523842943</v>
      </c>
      <c r="F88" s="65">
        <v>1.7920251757683303E-2</v>
      </c>
      <c r="G88" s="65">
        <v>9.7847358121330164E-3</v>
      </c>
      <c r="H88" s="59">
        <f t="shared" si="15"/>
        <v>61838.189655870119</v>
      </c>
      <c r="I88" s="60">
        <f t="shared" si="15"/>
        <v>1253.4362042018633</v>
      </c>
      <c r="J88" s="60">
        <f t="shared" si="15"/>
        <v>2477.5504351330737</v>
      </c>
      <c r="K88" s="60">
        <f t="shared" si="15"/>
        <v>8671.0995458899142</v>
      </c>
      <c r="L88" s="60">
        <f t="shared" si="15"/>
        <v>1396.2525667938196</v>
      </c>
      <c r="M88" s="60">
        <f t="shared" si="15"/>
        <v>1874.9999999999995</v>
      </c>
      <c r="N88" s="61">
        <f t="shared" si="11"/>
        <v>0.31705598902606308</v>
      </c>
      <c r="O88" s="61">
        <f t="shared" si="12"/>
        <v>0.13714418790067401</v>
      </c>
      <c r="P88" s="62">
        <f t="shared" si="13"/>
        <v>0.15907942378763365</v>
      </c>
      <c r="Q88" s="62">
        <f t="shared" si="7"/>
        <v>5.0791451119413633E-2</v>
      </c>
      <c r="R88" s="63">
        <v>2.5316499999999999E-2</v>
      </c>
      <c r="S88" s="67">
        <f t="shared" si="14"/>
        <v>0.33807657345420949</v>
      </c>
      <c r="T88" s="67">
        <f t="shared" si="14"/>
        <v>2.8849140728741007E-2</v>
      </c>
      <c r="U88" s="67">
        <f t="shared" si="14"/>
        <v>0.20431866757765937</v>
      </c>
      <c r="V88" s="67">
        <f t="shared" si="14"/>
        <v>0.1829250433777565</v>
      </c>
      <c r="W88" s="67">
        <f t="shared" si="14"/>
        <v>-7.2136245172262914E-3</v>
      </c>
      <c r="X88" s="67">
        <f t="shared" si="14"/>
        <v>-1.514826318299467E-2</v>
      </c>
    </row>
    <row r="89" spans="1:24">
      <c r="A89" s="57">
        <v>1996</v>
      </c>
      <c r="B89" s="65">
        <v>0.22680966018865789</v>
      </c>
      <c r="C89" s="65">
        <v>5.005396825396826E-2</v>
      </c>
      <c r="D89" s="65">
        <v>1.428607793401844E-2</v>
      </c>
      <c r="E89" s="65">
        <v>3.4156893562299034E-2</v>
      </c>
      <c r="F89" s="65">
        <v>2.4254097556188015E-2</v>
      </c>
      <c r="G89" s="65">
        <v>-4.5865633074935408E-2</v>
      </c>
      <c r="H89" s="59">
        <f t="shared" si="15"/>
        <v>75863.688438399797</v>
      </c>
      <c r="I89" s="60">
        <f t="shared" si="15"/>
        <v>1316.175660175358</v>
      </c>
      <c r="J89" s="60">
        <f t="shared" si="15"/>
        <v>2512.9449137348461</v>
      </c>
      <c r="K89" s="60">
        <f t="shared" si="15"/>
        <v>8967.277370146976</v>
      </c>
      <c r="L89" s="60">
        <f t="shared" si="15"/>
        <v>1430.1174127619149</v>
      </c>
      <c r="M89" s="60">
        <f t="shared" si="15"/>
        <v>1789.0019379844957</v>
      </c>
      <c r="N89" s="61">
        <f t="shared" si="11"/>
        <v>0.17675569193468962</v>
      </c>
      <c r="O89" s="61">
        <f t="shared" si="12"/>
        <v>0.21252358225463946</v>
      </c>
      <c r="P89" s="62">
        <f t="shared" si="13"/>
        <v>0.19265276662635886</v>
      </c>
      <c r="Q89" s="62">
        <f t="shared" si="7"/>
        <v>5.304503967737495E-2</v>
      </c>
      <c r="R89" s="63">
        <v>3.3788200000000004E-2</v>
      </c>
      <c r="S89" s="67">
        <f t="shared" si="14"/>
        <v>0.18671277171538403</v>
      </c>
      <c r="T89" s="67">
        <f t="shared" si="14"/>
        <v>1.5734139985316364E-2</v>
      </c>
      <c r="U89" s="67">
        <f t="shared" si="14"/>
        <v>-1.8864717227360162E-2</v>
      </c>
      <c r="V89" s="67">
        <f t="shared" si="14"/>
        <v>3.5664322953099514E-4</v>
      </c>
      <c r="W89" s="67">
        <f t="shared" si="14"/>
        <v>-9.2224910710065888E-3</v>
      </c>
      <c r="X89" s="67">
        <f t="shared" si="14"/>
        <v>-7.7050437483166756E-2</v>
      </c>
    </row>
    <row r="90" spans="1:24">
      <c r="A90" s="57">
        <v>1997</v>
      </c>
      <c r="B90" s="65">
        <v>0.33103653103653097</v>
      </c>
      <c r="C90" s="65">
        <v>5.0620800000000001E-2</v>
      </c>
      <c r="D90" s="65">
        <v>9.939130272977531E-2</v>
      </c>
      <c r="E90" s="65">
        <v>0.12754162725001839</v>
      </c>
      <c r="F90" s="65">
        <v>4.0220867419660244E-2</v>
      </c>
      <c r="G90" s="65">
        <v>-0.21408259986459044</v>
      </c>
      <c r="H90" s="59">
        <f t="shared" si="15"/>
        <v>100977.34069068384</v>
      </c>
      <c r="I90" s="60">
        <f t="shared" si="15"/>
        <v>1382.8015250339627</v>
      </c>
      <c r="J90" s="60">
        <f t="shared" si="15"/>
        <v>2762.7097823991153</v>
      </c>
      <c r="K90" s="60">
        <f t="shared" si="15"/>
        <v>10110.978517937787</v>
      </c>
      <c r="L90" s="60">
        <f t="shared" si="15"/>
        <v>1487.6379756151593</v>
      </c>
      <c r="M90" s="60">
        <f t="shared" si="15"/>
        <v>1406.007751937984</v>
      </c>
      <c r="N90" s="61">
        <f t="shared" si="11"/>
        <v>0.28041573103653095</v>
      </c>
      <c r="O90" s="61">
        <f t="shared" si="12"/>
        <v>0.23164522830675566</v>
      </c>
      <c r="P90" s="62">
        <f t="shared" si="13"/>
        <v>0.20349490378651258</v>
      </c>
      <c r="Q90" s="62">
        <f t="shared" si="7"/>
        <v>5.5315584903303572E-2</v>
      </c>
      <c r="R90" s="63">
        <v>1.6970499999999999E-2</v>
      </c>
      <c r="S90" s="67">
        <f t="shared" si="14"/>
        <v>0.30882511443206151</v>
      </c>
      <c r="T90" s="67">
        <f t="shared" si="14"/>
        <v>3.3088767078297554E-2</v>
      </c>
      <c r="U90" s="67">
        <f t="shared" si="14"/>
        <v>8.104542140580806E-2</v>
      </c>
      <c r="V90" s="67">
        <f t="shared" si="14"/>
        <v>0.10872599278938622</v>
      </c>
      <c r="W90" s="67">
        <f t="shared" si="14"/>
        <v>2.2862381376510088E-2</v>
      </c>
      <c r="X90" s="67">
        <f t="shared" si="14"/>
        <v>-0.2271974456138014</v>
      </c>
    </row>
    <row r="91" spans="1:24">
      <c r="A91" s="57">
        <v>1998</v>
      </c>
      <c r="B91" s="65">
        <v>0.28337953278443584</v>
      </c>
      <c r="C91" s="65">
        <v>4.7759600000000006E-2</v>
      </c>
      <c r="D91" s="65">
        <v>0.14921431922606215</v>
      </c>
      <c r="E91" s="65">
        <v>7.6274756292817242E-2</v>
      </c>
      <c r="F91" s="65">
        <v>6.4423641576565771E-2</v>
      </c>
      <c r="G91" s="65">
        <v>-8.2701585113713616E-3</v>
      </c>
      <c r="H91" s="59">
        <f t="shared" si="15"/>
        <v>129592.25231742462</v>
      </c>
      <c r="I91" s="60">
        <f t="shared" si="15"/>
        <v>1448.8435727489748</v>
      </c>
      <c r="J91" s="60">
        <f t="shared" si="15"/>
        <v>3174.9456417989818</v>
      </c>
      <c r="K91" s="60">
        <f t="shared" si="15"/>
        <v>10882.190940275401</v>
      </c>
      <c r="L91" s="60">
        <f t="shared" si="15"/>
        <v>1583.4770313518782</v>
      </c>
      <c r="M91" s="60">
        <f t="shared" si="15"/>
        <v>1394.37984496124</v>
      </c>
      <c r="N91" s="61">
        <f t="shared" si="11"/>
        <v>0.23561993278443583</v>
      </c>
      <c r="O91" s="61">
        <f t="shared" si="12"/>
        <v>0.13416521355837369</v>
      </c>
      <c r="P91" s="62">
        <f t="shared" si="13"/>
        <v>0.2071047764916186</v>
      </c>
      <c r="Q91" s="62">
        <f t="shared" si="7"/>
        <v>5.6306048135548625E-2</v>
      </c>
      <c r="R91" s="63">
        <v>1.6069199999999999E-2</v>
      </c>
      <c r="S91" s="67">
        <f t="shared" si="14"/>
        <v>0.2630828026126919</v>
      </c>
      <c r="T91" s="67">
        <f t="shared" si="14"/>
        <v>3.1189214277925092E-2</v>
      </c>
      <c r="U91" s="67">
        <f t="shared" si="14"/>
        <v>0.13103942056905393</v>
      </c>
      <c r="V91" s="67">
        <f t="shared" si="14"/>
        <v>5.9253401532904704E-2</v>
      </c>
      <c r="W91" s="67">
        <f t="shared" si="14"/>
        <v>4.7589712961052077E-2</v>
      </c>
      <c r="X91" s="67">
        <f t="shared" si="14"/>
        <v>-2.3954429985055481E-2</v>
      </c>
    </row>
    <row r="92" spans="1:24">
      <c r="A92" s="57">
        <v>1999</v>
      </c>
      <c r="B92" s="65">
        <v>0.20885350992084475</v>
      </c>
      <c r="C92" s="65">
        <v>4.6384063745019917E-2</v>
      </c>
      <c r="D92" s="65">
        <v>-8.2542147962685761E-2</v>
      </c>
      <c r="E92" s="65">
        <v>9.0685450376237486E-3</v>
      </c>
      <c r="F92" s="65">
        <v>7.6804915514592897E-2</v>
      </c>
      <c r="G92" s="65">
        <v>8.5128561501042199E-3</v>
      </c>
      <c r="H92" s="59">
        <f t="shared" si="15"/>
        <v>156658.0490724665</v>
      </c>
      <c r="I92" s="60">
        <f t="shared" si="15"/>
        <v>1516.0468253839256</v>
      </c>
      <c r="J92" s="60">
        <f t="shared" si="15"/>
        <v>2912.8788088601259</v>
      </c>
      <c r="K92" s="60">
        <f t="shared" si="15"/>
        <v>10980.87657892531</v>
      </c>
      <c r="L92" s="60">
        <f t="shared" si="15"/>
        <v>1705.0958509641575</v>
      </c>
      <c r="M92" s="60">
        <f t="shared" si="15"/>
        <v>1406.2499999999995</v>
      </c>
      <c r="N92" s="61">
        <f t="shared" si="11"/>
        <v>0.16246944617582484</v>
      </c>
      <c r="O92" s="61">
        <f t="shared" si="12"/>
        <v>0.2913956578835305</v>
      </c>
      <c r="P92" s="62">
        <f t="shared" si="13"/>
        <v>0.19978496488322101</v>
      </c>
      <c r="Q92" s="62">
        <f t="shared" si="7"/>
        <v>5.9634694818320177E-2</v>
      </c>
      <c r="R92" s="63">
        <v>2.6764E-2</v>
      </c>
      <c r="S92" s="67">
        <f t="shared" si="14"/>
        <v>0.17734309921349478</v>
      </c>
      <c r="T92" s="67">
        <f t="shared" si="14"/>
        <v>1.9108640101347385E-2</v>
      </c>
      <c r="U92" s="67">
        <f t="shared" si="14"/>
        <v>-0.10645693456596239</v>
      </c>
      <c r="V92" s="67">
        <f t="shared" si="14"/>
        <v>-1.7234198863980699E-2</v>
      </c>
      <c r="W92" s="67">
        <f t="shared" si="14"/>
        <v>4.8736530998937377E-2</v>
      </c>
      <c r="X92" s="67">
        <f t="shared" si="14"/>
        <v>-1.7775402964942066E-2</v>
      </c>
    </row>
    <row r="93" spans="1:24">
      <c r="A93" s="57">
        <v>2000</v>
      </c>
      <c r="B93" s="65">
        <v>-9.0318189552492781E-2</v>
      </c>
      <c r="C93" s="65">
        <v>5.8198007968127491E-2</v>
      </c>
      <c r="D93" s="65">
        <v>0.16655267125397488</v>
      </c>
      <c r="E93" s="65">
        <v>9.3878146518094577E-2</v>
      </c>
      <c r="F93" s="65">
        <v>9.2915553233810844E-2</v>
      </c>
      <c r="G93" s="65">
        <v>-5.4435831180017269E-2</v>
      </c>
      <c r="H93" s="59">
        <f t="shared" si="15"/>
        <v>142508.97770141574</v>
      </c>
      <c r="I93" s="60">
        <f t="shared" si="15"/>
        <v>1604.2777306076737</v>
      </c>
      <c r="J93" s="60">
        <f t="shared" si="15"/>
        <v>3398.0265555148762</v>
      </c>
      <c r="K93" s="60">
        <f t="shared" si="15"/>
        <v>12011.740919298774</v>
      </c>
      <c r="L93" s="60">
        <f t="shared" si="15"/>
        <v>1863.5257752731677</v>
      </c>
      <c r="M93" s="60">
        <f t="shared" si="15"/>
        <v>1329.6996124031002</v>
      </c>
      <c r="N93" s="61">
        <f t="shared" si="11"/>
        <v>-0.14851619752062029</v>
      </c>
      <c r="O93" s="61">
        <f t="shared" si="12"/>
        <v>-0.25687086080646765</v>
      </c>
      <c r="P93" s="62">
        <f t="shared" si="13"/>
        <v>-0.18419633607058736</v>
      </c>
      <c r="Q93" s="62">
        <f t="shared" si="7"/>
        <v>5.5111895842923087E-2</v>
      </c>
      <c r="R93" s="63">
        <v>3.43602E-2</v>
      </c>
      <c r="S93" s="67">
        <f t="shared" si="14"/>
        <v>-0.12053672362151302</v>
      </c>
      <c r="T93" s="67">
        <f t="shared" si="14"/>
        <v>2.3045944699078058E-2</v>
      </c>
      <c r="U93" s="67">
        <f t="shared" si="14"/>
        <v>0.1278011965792718</v>
      </c>
      <c r="V93" s="67">
        <f t="shared" si="14"/>
        <v>5.7540832021663935E-2</v>
      </c>
      <c r="W93" s="67">
        <f t="shared" si="14"/>
        <v>5.661021492688012E-2</v>
      </c>
      <c r="X93" s="67">
        <f t="shared" si="14"/>
        <v>-8.5846333975357236E-2</v>
      </c>
    </row>
    <row r="94" spans="1:24">
      <c r="A94" s="57">
        <v>2001</v>
      </c>
      <c r="B94" s="65">
        <v>-0.11849759142000185</v>
      </c>
      <c r="C94" s="65">
        <v>3.3993548387096777E-2</v>
      </c>
      <c r="D94" s="65">
        <v>5.5721811892492555E-2</v>
      </c>
      <c r="E94" s="65">
        <v>8.5387489183019236E-2</v>
      </c>
      <c r="F94" s="65">
        <v>6.6779421091818225E-2</v>
      </c>
      <c r="G94" s="65">
        <v>7.4694844233922364E-3</v>
      </c>
      <c r="H94" s="59">
        <f t="shared" si="15"/>
        <v>125622.00708807123</v>
      </c>
      <c r="I94" s="60">
        <f t="shared" si="15"/>
        <v>1658.8128232694276</v>
      </c>
      <c r="J94" s="60">
        <f t="shared" si="15"/>
        <v>3587.3707520469702</v>
      </c>
      <c r="K94" s="60">
        <f t="shared" si="15"/>
        <v>13037.393317114629</v>
      </c>
      <c r="L94" s="60">
        <f t="shared" si="15"/>
        <v>1987.9709477355916</v>
      </c>
      <c r="M94" s="60">
        <f t="shared" si="15"/>
        <v>1339.6317829457359</v>
      </c>
      <c r="N94" s="61">
        <f t="shared" si="11"/>
        <v>-0.15249113980709864</v>
      </c>
      <c r="O94" s="61">
        <f t="shared" si="12"/>
        <v>-0.17421940331249441</v>
      </c>
      <c r="P94" s="62">
        <f t="shared" si="13"/>
        <v>-0.20388508060302107</v>
      </c>
      <c r="Q94" s="62">
        <f t="shared" si="7"/>
        <v>5.1665345512908356E-2</v>
      </c>
      <c r="R94" s="63">
        <v>1.6036700000000001E-2</v>
      </c>
      <c r="S94" s="67">
        <f t="shared" si="14"/>
        <v>-0.13241085821014309</v>
      </c>
      <c r="T94" s="67">
        <f t="shared" si="14"/>
        <v>1.7673424972834972E-2</v>
      </c>
      <c r="U94" s="67">
        <f t="shared" si="14"/>
        <v>3.9058738618883204E-2</v>
      </c>
      <c r="V94" s="67">
        <f t="shared" si="14"/>
        <v>6.8256185217541177E-2</v>
      </c>
      <c r="W94" s="67">
        <f t="shared" si="14"/>
        <v>4.9941819121118725E-2</v>
      </c>
      <c r="X94" s="67">
        <f t="shared" si="14"/>
        <v>-8.4319942149803095E-3</v>
      </c>
    </row>
    <row r="95" spans="1:24">
      <c r="A95" s="57">
        <v>2002</v>
      </c>
      <c r="B95" s="65">
        <v>-0.21966047957912699</v>
      </c>
      <c r="C95" s="65">
        <v>1.60532E-2</v>
      </c>
      <c r="D95" s="65">
        <v>0.15116400378109285</v>
      </c>
      <c r="E95" s="65">
        <v>0.12143658327667134</v>
      </c>
      <c r="F95" s="65">
        <v>9.5600399806989866E-2</v>
      </c>
      <c r="G95" s="65">
        <v>0.2556962025316456</v>
      </c>
      <c r="H95" s="59">
        <f t="shared" si="15"/>
        <v>98027.816765413008</v>
      </c>
      <c r="I95" s="60">
        <f t="shared" si="15"/>
        <v>1685.4420772839362</v>
      </c>
      <c r="J95" s="60">
        <f t="shared" si="15"/>
        <v>4129.6520779735802</v>
      </c>
      <c r="K95" s="60">
        <f t="shared" si="15"/>
        <v>14620.609816379138</v>
      </c>
      <c r="L95" s="60">
        <f t="shared" si="15"/>
        <v>2178.0217651437947</v>
      </c>
      <c r="M95" s="60">
        <f t="shared" si="15"/>
        <v>1682.1705426356584</v>
      </c>
      <c r="N95" s="61">
        <f t="shared" si="11"/>
        <v>-0.23571367957912698</v>
      </c>
      <c r="O95" s="61">
        <f t="shared" si="12"/>
        <v>-0.37082448336021984</v>
      </c>
      <c r="P95" s="62">
        <f t="shared" si="13"/>
        <v>-0.34109706285579833</v>
      </c>
      <c r="Q95" s="62">
        <f t="shared" si="7"/>
        <v>4.5325449773477855E-2</v>
      </c>
      <c r="R95" s="63">
        <v>2.48027E-2</v>
      </c>
      <c r="S95" s="67">
        <f t="shared" si="14"/>
        <v>-0.23854658031163167</v>
      </c>
      <c r="T95" s="67">
        <f t="shared" si="14"/>
        <v>-8.5377409719938901E-3</v>
      </c>
      <c r="U95" s="67">
        <f t="shared" si="14"/>
        <v>0.12330305509645223</v>
      </c>
      <c r="V95" s="67">
        <f t="shared" si="14"/>
        <v>9.4295109953039136E-2</v>
      </c>
      <c r="W95" s="67">
        <f t="shared" si="14"/>
        <v>6.9084224511693826E-2</v>
      </c>
      <c r="X95" s="67">
        <f t="shared" si="14"/>
        <v>0.22530532221631105</v>
      </c>
    </row>
    <row r="96" spans="1:24">
      <c r="A96" s="57">
        <v>2003</v>
      </c>
      <c r="B96" s="65">
        <v>0.28355800050010233</v>
      </c>
      <c r="C96" s="65">
        <v>1.00836E-2</v>
      </c>
      <c r="D96" s="65">
        <v>3.7531858817758529E-3</v>
      </c>
      <c r="E96" s="65">
        <v>0.12316378506833342</v>
      </c>
      <c r="F96" s="65">
        <v>9.8119558635008763E-2</v>
      </c>
      <c r="G96" s="65">
        <v>0.1988767281105992</v>
      </c>
      <c r="H96" s="59">
        <f t="shared" si="15"/>
        <v>125824.38848080393</v>
      </c>
      <c r="I96" s="60">
        <f t="shared" si="15"/>
        <v>1702.4374010144365</v>
      </c>
      <c r="J96" s="60">
        <f t="shared" si="15"/>
        <v>4145.1514298492766</v>
      </c>
      <c r="K96" s="60">
        <f t="shared" si="15"/>
        <v>16421.339461371623</v>
      </c>
      <c r="L96" s="60">
        <f t="shared" si="15"/>
        <v>2391.7282994371467</v>
      </c>
      <c r="M96" s="60">
        <f t="shared" si="15"/>
        <v>2016.7151162790694</v>
      </c>
      <c r="N96" s="61">
        <f t="shared" si="11"/>
        <v>0.2734744005001023</v>
      </c>
      <c r="O96" s="61">
        <f t="shared" si="12"/>
        <v>0.27980481461832646</v>
      </c>
      <c r="P96" s="62">
        <f t="shared" si="13"/>
        <v>0.16039421543176891</v>
      </c>
      <c r="Q96" s="62">
        <f t="shared" si="7"/>
        <v>4.8237796117156506E-2</v>
      </c>
      <c r="R96" s="63">
        <v>2.0352000000000002E-2</v>
      </c>
      <c r="S96" s="67">
        <f t="shared" si="14"/>
        <v>0.25795607839265511</v>
      </c>
      <c r="T96" s="67">
        <f t="shared" si="14"/>
        <v>-1.0063585899767857E-2</v>
      </c>
      <c r="U96" s="67">
        <f t="shared" si="14"/>
        <v>-1.6267733211895563E-2</v>
      </c>
      <c r="V96" s="67">
        <f t="shared" si="14"/>
        <v>0.10076109525764987</v>
      </c>
      <c r="W96" s="67">
        <f t="shared" si="14"/>
        <v>7.6216402413097573E-2</v>
      </c>
      <c r="X96" s="67">
        <f t="shared" si="14"/>
        <v>0.17496386355943772</v>
      </c>
    </row>
    <row r="97" spans="1:24">
      <c r="A97" s="57">
        <v>2004</v>
      </c>
      <c r="B97" s="65">
        <v>0.10742775944096193</v>
      </c>
      <c r="C97" s="65">
        <v>1.3746400000000001E-2</v>
      </c>
      <c r="D97" s="65">
        <v>4.490683702274547E-2</v>
      </c>
      <c r="E97" s="65">
        <v>0.10345924468934715</v>
      </c>
      <c r="F97" s="65">
        <v>0.13638479663675351</v>
      </c>
      <c r="G97" s="65">
        <v>4.6486486486486456E-2</v>
      </c>
      <c r="H97" s="59">
        <f t="shared" si="15"/>
        <v>139341.42061832585</v>
      </c>
      <c r="I97" s="60">
        <f t="shared" si="15"/>
        <v>1725.8397865037414</v>
      </c>
      <c r="J97" s="60">
        <f t="shared" si="15"/>
        <v>4331.2970695441181</v>
      </c>
      <c r="K97" s="60">
        <f t="shared" si="15"/>
        <v>18120.278838832503</v>
      </c>
      <c r="L97" s="60">
        <f t="shared" si="15"/>
        <v>2717.9236771662504</v>
      </c>
      <c r="M97" s="60">
        <f t="shared" si="15"/>
        <v>2110.4651162790692</v>
      </c>
      <c r="N97" s="61">
        <f t="shared" si="11"/>
        <v>9.3681359440961925E-2</v>
      </c>
      <c r="O97" s="61">
        <f t="shared" si="12"/>
        <v>6.2520922418216468E-2</v>
      </c>
      <c r="P97" s="62">
        <f t="shared" si="13"/>
        <v>3.9685147516147767E-3</v>
      </c>
      <c r="Q97" s="62">
        <f t="shared" si="7"/>
        <v>4.842299846885445E-2</v>
      </c>
      <c r="R97" s="63">
        <v>3.34232E-2</v>
      </c>
      <c r="S97" s="67">
        <f t="shared" si="14"/>
        <v>7.1611087733429724E-2</v>
      </c>
      <c r="T97" s="67">
        <f t="shared" si="14"/>
        <v>-1.9040408614786286E-2</v>
      </c>
      <c r="U97" s="67">
        <f t="shared" si="14"/>
        <v>1.1112230713172799E-2</v>
      </c>
      <c r="V97" s="67">
        <f t="shared" si="14"/>
        <v>6.7770923557112894E-2</v>
      </c>
      <c r="W97" s="67">
        <f t="shared" si="14"/>
        <v>9.9631590075347054E-2</v>
      </c>
      <c r="X97" s="67">
        <f t="shared" si="14"/>
        <v>1.2640790807179725E-2</v>
      </c>
    </row>
    <row r="98" spans="1:24">
      <c r="A98" s="57">
        <v>2005</v>
      </c>
      <c r="B98" s="65">
        <v>4.8344775232688535E-2</v>
      </c>
      <c r="C98" s="65">
        <v>3.1491600000000002E-2</v>
      </c>
      <c r="D98" s="65">
        <v>2.8675329597779506E-2</v>
      </c>
      <c r="E98" s="65">
        <v>5.2983848835185088E-2</v>
      </c>
      <c r="F98" s="65">
        <v>0.13510430453141753</v>
      </c>
      <c r="G98" s="65">
        <v>0.1776859504132231</v>
      </c>
      <c r="H98" s="59">
        <f t="shared" si="15"/>
        <v>146077.8502787223</v>
      </c>
      <c r="I98" s="60">
        <f t="shared" si="15"/>
        <v>1780.1892427244027</v>
      </c>
      <c r="J98" s="60">
        <f t="shared" si="15"/>
        <v>4455.4984405991927</v>
      </c>
      <c r="K98" s="60">
        <f t="shared" si="15"/>
        <v>19080.360953680607</v>
      </c>
      <c r="L98" s="60">
        <f t="shared" si="15"/>
        <v>3085.1268653392694</v>
      </c>
      <c r="M98" s="60">
        <f t="shared" si="15"/>
        <v>2485.4651162790692</v>
      </c>
      <c r="N98" s="61">
        <f t="shared" si="11"/>
        <v>1.6853175232688533E-2</v>
      </c>
      <c r="O98" s="61">
        <f t="shared" si="12"/>
        <v>1.9669445634909029E-2</v>
      </c>
      <c r="P98" s="62">
        <f t="shared" si="13"/>
        <v>-4.6390736024965532E-3</v>
      </c>
      <c r="Q98" s="62">
        <f t="shared" si="7"/>
        <v>4.8042189402255131E-2</v>
      </c>
      <c r="R98" s="63">
        <v>3.3385499999999999E-2</v>
      </c>
      <c r="S98" s="67">
        <f t="shared" si="14"/>
        <v>1.4475987163249604E-2</v>
      </c>
      <c r="T98" s="67">
        <f t="shared" si="14"/>
        <v>-1.8327139291194339E-3</v>
      </c>
      <c r="U98" s="67">
        <f t="shared" si="14"/>
        <v>-4.5579993160543841E-3</v>
      </c>
      <c r="V98" s="67">
        <f t="shared" si="14"/>
        <v>1.8965186598016937E-2</v>
      </c>
      <c r="W98" s="67">
        <f t="shared" si="14"/>
        <v>9.8432583514494354E-2</v>
      </c>
      <c r="X98" s="67">
        <f t="shared" si="14"/>
        <v>0.13963854767966355</v>
      </c>
    </row>
    <row r="99" spans="1:24">
      <c r="A99" s="57">
        <v>2006</v>
      </c>
      <c r="B99" s="65">
        <v>0.15612557979315703</v>
      </c>
      <c r="C99" s="65">
        <v>4.7300000000000002E-2</v>
      </c>
      <c r="D99" s="65">
        <v>1.9610012417568386E-2</v>
      </c>
      <c r="E99" s="65">
        <v>5.1964610076620635E-2</v>
      </c>
      <c r="F99" s="65">
        <v>1.7334140261067166E-2</v>
      </c>
      <c r="G99" s="65">
        <v>0.23196881091617927</v>
      </c>
      <c r="H99" s="59">
        <f t="shared" si="15"/>
        <v>168884.33934842583</v>
      </c>
      <c r="I99" s="60">
        <f t="shared" si="15"/>
        <v>1864.3921939052668</v>
      </c>
      <c r="J99" s="60">
        <f t="shared" si="15"/>
        <v>4542.8708203458</v>
      </c>
      <c r="K99" s="60">
        <f t="shared" si="15"/>
        <v>20071.8644707598</v>
      </c>
      <c r="L99" s="60">
        <f t="shared" si="15"/>
        <v>3138.6048871462467</v>
      </c>
      <c r="M99" s="60">
        <f t="shared" si="15"/>
        <v>3062.0155038759681</v>
      </c>
      <c r="N99" s="61">
        <f t="shared" si="11"/>
        <v>0.10882557979315702</v>
      </c>
      <c r="O99" s="61">
        <f t="shared" si="12"/>
        <v>0.13651556737558865</v>
      </c>
      <c r="P99" s="62">
        <f t="shared" si="13"/>
        <v>0.10416096971653639</v>
      </c>
      <c r="Q99" s="62">
        <f t="shared" si="7"/>
        <v>4.9149036004805913E-2</v>
      </c>
      <c r="R99" s="63">
        <v>2.52398E-2</v>
      </c>
      <c r="S99" s="67">
        <f t="shared" si="14"/>
        <v>0.12766357665119621</v>
      </c>
      <c r="T99" s="67">
        <f t="shared" si="14"/>
        <v>2.1517112386780113E-2</v>
      </c>
      <c r="U99" s="67">
        <f t="shared" si="14"/>
        <v>-5.4911910193415903E-3</v>
      </c>
      <c r="V99" s="67">
        <f t="shared" si="14"/>
        <v>2.6066887060588684E-2</v>
      </c>
      <c r="W99" s="67">
        <f t="shared" si="14"/>
        <v>-7.7110347637039389E-3</v>
      </c>
      <c r="X99" s="67">
        <f t="shared" si="14"/>
        <v>0.20163966607244399</v>
      </c>
    </row>
    <row r="100" spans="1:24">
      <c r="A100" s="57">
        <v>2007</v>
      </c>
      <c r="B100" s="65">
        <v>5.4847352464217694E-2</v>
      </c>
      <c r="C100" s="65">
        <v>4.3619521912350592E-2</v>
      </c>
      <c r="D100" s="65">
        <v>0.10209921930012807</v>
      </c>
      <c r="E100" s="65">
        <v>4.8445754357525184E-2</v>
      </c>
      <c r="F100" s="65">
        <v>-5.3981629545541421E-2</v>
      </c>
      <c r="G100" s="65">
        <v>0.31922468354430378</v>
      </c>
      <c r="H100" s="59">
        <f t="shared" si="15"/>
        <v>178147.19823435548</v>
      </c>
      <c r="I100" s="60">
        <f t="shared" si="15"/>
        <v>1945.7160900605329</v>
      </c>
      <c r="J100" s="60">
        <f t="shared" si="15"/>
        <v>5006.6943844844382</v>
      </c>
      <c r="K100" s="60">
        <f t="shared" si="15"/>
        <v>21044.261086407765</v>
      </c>
      <c r="L100" s="60">
        <f t="shared" si="15"/>
        <v>2969.177880838492</v>
      </c>
      <c r="M100" s="60">
        <f t="shared" si="15"/>
        <v>4039.4864341085258</v>
      </c>
      <c r="N100" s="61">
        <f t="shared" si="11"/>
        <v>1.1227830551867102E-2</v>
      </c>
      <c r="O100" s="61">
        <f t="shared" si="12"/>
        <v>-4.7251866835910372E-2</v>
      </c>
      <c r="P100" s="62">
        <f t="shared" si="13"/>
        <v>6.4015981066925104E-3</v>
      </c>
      <c r="Q100" s="62">
        <f t="shared" si="7"/>
        <v>4.7948712238125024E-2</v>
      </c>
      <c r="R100" s="63">
        <v>4.1088100000000002E-2</v>
      </c>
      <c r="S100" s="67">
        <f t="shared" si="14"/>
        <v>1.3216222973077452E-2</v>
      </c>
      <c r="T100" s="67">
        <f t="shared" si="14"/>
        <v>2.431515557953734E-3</v>
      </c>
      <c r="U100" s="67">
        <f t="shared" si="14"/>
        <v>5.8603224165301615E-2</v>
      </c>
      <c r="V100" s="67">
        <f t="shared" si="14"/>
        <v>7.067273516549788E-3</v>
      </c>
      <c r="W100" s="67">
        <f t="shared" si="14"/>
        <v>-9.1317660383920862E-2</v>
      </c>
      <c r="X100" s="67">
        <f t="shared" si="14"/>
        <v>0.26715950700455005</v>
      </c>
    </row>
    <row r="101" spans="1:24">
      <c r="A101" s="57">
        <v>2008</v>
      </c>
      <c r="B101" s="65">
        <v>-0.36552344111798191</v>
      </c>
      <c r="C101" s="65">
        <v>1.3713147410358567E-2</v>
      </c>
      <c r="D101" s="65">
        <v>0.20101279926977011</v>
      </c>
      <c r="E101" s="65">
        <v>-3.540309867144642E-2</v>
      </c>
      <c r="F101" s="65">
        <v>-0.11995638578961343</v>
      </c>
      <c r="G101" s="65">
        <v>4.3178410794602717E-2</v>
      </c>
      <c r="H101" s="59">
        <f t="shared" si="15"/>
        <v>113030.22131020659</v>
      </c>
      <c r="I101" s="60">
        <f t="shared" si="15"/>
        <v>1972.3979816222397</v>
      </c>
      <c r="J101" s="60">
        <f t="shared" si="15"/>
        <v>6013.1040377978934</v>
      </c>
      <c r="K101" s="60">
        <f t="shared" si="15"/>
        <v>20299.22903469799</v>
      </c>
      <c r="L101" s="60">
        <f t="shared" si="15"/>
        <v>2613.006033486643</v>
      </c>
      <c r="M101" s="60">
        <f t="shared" si="15"/>
        <v>4213.905038759689</v>
      </c>
      <c r="N101" s="61">
        <f t="shared" si="11"/>
        <v>-0.37923658852834047</v>
      </c>
      <c r="O101" s="61">
        <f t="shared" si="12"/>
        <v>-0.56653624038775208</v>
      </c>
      <c r="P101" s="62">
        <f t="shared" si="13"/>
        <v>-0.33012034244653549</v>
      </c>
      <c r="Q101" s="62">
        <f t="shared" si="7"/>
        <v>3.8795868868689798E-2</v>
      </c>
      <c r="R101" s="63">
        <v>-2.2230000000000001E-4</v>
      </c>
      <c r="S101" s="67">
        <f t="shared" si="14"/>
        <v>-0.36538236561785886</v>
      </c>
      <c r="T101" s="67">
        <f t="shared" si="14"/>
        <v>1.3938545949123249E-2</v>
      </c>
      <c r="U101" s="67">
        <f t="shared" si="14"/>
        <v>0.20127984377904218</v>
      </c>
      <c r="V101" s="67">
        <f t="shared" si="14"/>
        <v>-3.5188621101917339E-2</v>
      </c>
      <c r="W101" s="67">
        <f t="shared" si="14"/>
        <v>-0.1197607085951341</v>
      </c>
      <c r="X101" s="67">
        <f t="shared" si="14"/>
        <v>4.3410360917834678E-2</v>
      </c>
    </row>
    <row r="102" spans="1:24">
      <c r="A102" s="57">
        <v>2009</v>
      </c>
      <c r="B102" s="65">
        <v>0.25935233877663982</v>
      </c>
      <c r="C102" s="65">
        <v>1.5051999999999999E-3</v>
      </c>
      <c r="D102" s="65">
        <v>-0.11116695313259162</v>
      </c>
      <c r="E102" s="65">
        <v>0.20209649577883115</v>
      </c>
      <c r="F102" s="65">
        <v>-3.8552558261496617E-2</v>
      </c>
      <c r="G102" s="65">
        <v>0.25035929864903705</v>
      </c>
      <c r="H102" s="59">
        <f t="shared" ref="H102:M116" si="16">H101*(1+B102)</f>
        <v>142344.87355944986</v>
      </c>
      <c r="I102" s="60">
        <f t="shared" si="16"/>
        <v>1975.3668350641774</v>
      </c>
      <c r="J102" s="60">
        <f t="shared" si="16"/>
        <v>5344.6455830466175</v>
      </c>
      <c r="K102" s="60">
        <f t="shared" si="16"/>
        <v>24401.632089622359</v>
      </c>
      <c r="L102" s="60">
        <f t="shared" si="16"/>
        <v>2512.267966143007</v>
      </c>
      <c r="M102" s="60">
        <f t="shared" si="16"/>
        <v>5268.8953488372081</v>
      </c>
      <c r="N102" s="61">
        <f t="shared" si="11"/>
        <v>0.25784713877663984</v>
      </c>
      <c r="O102" s="61">
        <f t="shared" si="12"/>
        <v>0.37051929190923144</v>
      </c>
      <c r="P102" s="62">
        <f t="shared" si="13"/>
        <v>5.725584299780867E-2</v>
      </c>
      <c r="Q102" s="62">
        <f t="shared" si="7"/>
        <v>4.2868506133348472E-2</v>
      </c>
      <c r="R102" s="63">
        <v>2.8141199999999998E-2</v>
      </c>
      <c r="S102" s="67">
        <f t="shared" si="14"/>
        <v>0.2248826705676612</v>
      </c>
      <c r="T102" s="67">
        <f t="shared" si="14"/>
        <v>-2.5906947411503456E-2</v>
      </c>
      <c r="U102" s="67">
        <f t="shared" si="14"/>
        <v>-0.13549515682533853</v>
      </c>
      <c r="V102" s="67">
        <f t="shared" si="14"/>
        <v>0.16919397430900651</v>
      </c>
      <c r="W102" s="67">
        <f t="shared" si="14"/>
        <v>-6.4868286828206778E-2</v>
      </c>
      <c r="X102" s="67">
        <f t="shared" si="14"/>
        <v>0.21613577847968446</v>
      </c>
    </row>
    <row r="103" spans="1:24">
      <c r="A103" s="57">
        <v>2010</v>
      </c>
      <c r="B103" s="65">
        <v>0.14821092278719414</v>
      </c>
      <c r="C103" s="65">
        <v>1.3844621513944221E-3</v>
      </c>
      <c r="D103" s="65">
        <v>8.4629338803557719E-2</v>
      </c>
      <c r="E103" s="65">
        <v>9.4104971085132647E-2</v>
      </c>
      <c r="F103" s="65">
        <v>-4.1128020509463736E-2</v>
      </c>
      <c r="G103" s="65">
        <v>0.29241379310344828</v>
      </c>
      <c r="H103" s="59">
        <f t="shared" si="16"/>
        <v>163441.93862372241</v>
      </c>
      <c r="I103" s="60">
        <f t="shared" si="16"/>
        <v>1978.1016556824434</v>
      </c>
      <c r="J103" s="60">
        <f t="shared" si="16"/>
        <v>5796.9594048792078</v>
      </c>
      <c r="K103" s="60">
        <f t="shared" si="16"/>
        <v>26697.946971846319</v>
      </c>
      <c r="L103" s="60">
        <f t="shared" si="16"/>
        <v>2408.9433577062086</v>
      </c>
      <c r="M103" s="60">
        <f t="shared" si="16"/>
        <v>6809.5930232558121</v>
      </c>
      <c r="N103" s="61">
        <f t="shared" si="11"/>
        <v>0.14682646063579971</v>
      </c>
      <c r="O103" s="61">
        <f t="shared" si="12"/>
        <v>6.3581583983636419E-2</v>
      </c>
      <c r="P103" s="62">
        <f t="shared" si="13"/>
        <v>5.4105951702061492E-2</v>
      </c>
      <c r="Q103" s="62">
        <f t="shared" si="7"/>
        <v>4.3108516433475463E-2</v>
      </c>
      <c r="R103" s="63">
        <v>1.4377899999999999E-2</v>
      </c>
      <c r="S103" s="67">
        <f t="shared" si="14"/>
        <v>0.1319360593198986</v>
      </c>
      <c r="T103" s="67">
        <f t="shared" si="14"/>
        <v>-1.2809267481680764E-2</v>
      </c>
      <c r="U103" s="67">
        <f t="shared" si="14"/>
        <v>6.9255687454899961E-2</v>
      </c>
      <c r="V103" s="67">
        <f t="shared" si="14"/>
        <v>7.8597011118965332E-2</v>
      </c>
      <c r="W103" s="67">
        <f t="shared" si="14"/>
        <v>-5.4719173701895163E-2</v>
      </c>
      <c r="X103" s="67">
        <f t="shared" si="14"/>
        <v>0.27409498284953604</v>
      </c>
    </row>
    <row r="104" spans="1:24">
      <c r="A104" s="57">
        <v>2011</v>
      </c>
      <c r="B104" s="65">
        <v>2.09837473362805E-2</v>
      </c>
      <c r="C104" s="65">
        <v>5.2839999999999994E-4</v>
      </c>
      <c r="D104" s="65">
        <v>0.16035334999461354</v>
      </c>
      <c r="E104" s="65">
        <v>0.12262911319384322</v>
      </c>
      <c r="F104" s="65">
        <v>-3.8853177086296098E-2</v>
      </c>
      <c r="G104" s="65">
        <v>0.1202419067947349</v>
      </c>
      <c r="H104" s="59">
        <f t="shared" si="16"/>
        <v>166871.56296795449</v>
      </c>
      <c r="I104" s="60">
        <f t="shared" si="16"/>
        <v>1979.1468845973061</v>
      </c>
      <c r="J104" s="60">
        <f t="shared" si="16"/>
        <v>6726.5212652343698</v>
      </c>
      <c r="K104" s="60">
        <f t="shared" si="16"/>
        <v>29971.892533100086</v>
      </c>
      <c r="L104" s="60">
        <f t="shared" si="16"/>
        <v>2315.3482548383927</v>
      </c>
      <c r="M104" s="60">
        <f t="shared" si="16"/>
        <v>7628.3914728682148</v>
      </c>
      <c r="N104" s="61">
        <f t="shared" si="11"/>
        <v>2.0455347336280502E-2</v>
      </c>
      <c r="O104" s="61">
        <f t="shared" si="12"/>
        <v>-0.13936960265833304</v>
      </c>
      <c r="P104" s="62">
        <f t="shared" si="13"/>
        <v>-0.10164536585756272</v>
      </c>
      <c r="Q104" s="62">
        <f t="shared" si="7"/>
        <v>4.0970429004248521E-2</v>
      </c>
      <c r="R104" s="63">
        <v>3.0620699999999997E-2</v>
      </c>
      <c r="S104" s="67">
        <f t="shared" si="14"/>
        <v>-9.3506298327983295E-3</v>
      </c>
      <c r="T104" s="67">
        <f t="shared" si="14"/>
        <v>-2.9198229765809991E-2</v>
      </c>
      <c r="U104" s="67">
        <f t="shared" si="14"/>
        <v>0.12587817224572873</v>
      </c>
      <c r="V104" s="67">
        <f t="shared" si="14"/>
        <v>8.927475762309367E-2</v>
      </c>
      <c r="W104" s="67">
        <f t="shared" si="14"/>
        <v>-6.7409743551915979E-2</v>
      </c>
      <c r="X104" s="67">
        <f t="shared" si="14"/>
        <v>8.6958477347422569E-2</v>
      </c>
    </row>
    <row r="105" spans="1:24">
      <c r="A105" s="57">
        <v>2012</v>
      </c>
      <c r="B105" s="65">
        <v>0.15890585241730293</v>
      </c>
      <c r="C105" s="65">
        <v>8.7599999999999993E-4</v>
      </c>
      <c r="D105" s="65">
        <v>2.971571978018946E-2</v>
      </c>
      <c r="E105" s="65">
        <v>9.3270633454791169E-2</v>
      </c>
      <c r="F105" s="65">
        <v>6.4371744791666519E-2</v>
      </c>
      <c r="G105" s="65">
        <v>5.6843442362654706E-2</v>
      </c>
      <c r="H105" s="59">
        <f t="shared" si="16"/>
        <v>193388.43092558492</v>
      </c>
      <c r="I105" s="60">
        <f t="shared" si="16"/>
        <v>1980.8806172682134</v>
      </c>
      <c r="J105" s="60">
        <f t="shared" si="16"/>
        <v>6926.4046862475598</v>
      </c>
      <c r="K105" s="60">
        <f t="shared" si="16"/>
        <v>32767.389935501258</v>
      </c>
      <c r="L105" s="60">
        <f t="shared" si="16"/>
        <v>2464.3912618026802</v>
      </c>
      <c r="M105" s="60">
        <f t="shared" si="16"/>
        <v>8062.0155038759658</v>
      </c>
      <c r="N105" s="61">
        <f t="shared" si="11"/>
        <v>0.15802985241730294</v>
      </c>
      <c r="O105" s="61">
        <f t="shared" si="12"/>
        <v>0.12919013263711346</v>
      </c>
      <c r="P105" s="62">
        <f t="shared" si="13"/>
        <v>6.563521896251176E-2</v>
      </c>
      <c r="Q105" s="62">
        <f t="shared" si="7"/>
        <v>4.1988275684727405E-2</v>
      </c>
      <c r="R105" s="63">
        <v>1.7595E-2</v>
      </c>
      <c r="S105" s="67">
        <f t="shared" si="14"/>
        <v>0.13886747912214847</v>
      </c>
      <c r="T105" s="67">
        <f t="shared" si="14"/>
        <v>-1.6429915634412429E-2</v>
      </c>
      <c r="U105" s="67">
        <f t="shared" si="14"/>
        <v>1.1911143215315834E-2</v>
      </c>
      <c r="V105" s="67">
        <f t="shared" si="14"/>
        <v>7.4367143563786486E-2</v>
      </c>
      <c r="W105" s="67">
        <f t="shared" si="14"/>
        <v>4.5967938906604777E-2</v>
      </c>
      <c r="X105" s="67">
        <f t="shared" si="14"/>
        <v>3.8569806615259106E-2</v>
      </c>
    </row>
    <row r="106" spans="1:24">
      <c r="A106" s="57">
        <v>2013</v>
      </c>
      <c r="B106" s="65">
        <v>0.32145085858125483</v>
      </c>
      <c r="C106" s="65">
        <v>5.708E-4</v>
      </c>
      <c r="D106" s="65">
        <v>-9.104568794347262E-2</v>
      </c>
      <c r="E106" s="65">
        <v>-9.8278909816801388E-3</v>
      </c>
      <c r="F106" s="65">
        <v>0.1071321827495848</v>
      </c>
      <c r="G106" s="65">
        <v>-0.27614182692307687</v>
      </c>
      <c r="H106" s="59">
        <f t="shared" si="16"/>
        <v>255553.30808629587</v>
      </c>
      <c r="I106" s="60">
        <f t="shared" si="16"/>
        <v>1982.01130392455</v>
      </c>
      <c r="J106" s="60">
        <f t="shared" si="16"/>
        <v>6295.7854066132577</v>
      </c>
      <c r="K106" s="60">
        <f t="shared" si="16"/>
        <v>32445.355599460949</v>
      </c>
      <c r="L106" s="60">
        <f t="shared" si="16"/>
        <v>2728.4068768286047</v>
      </c>
      <c r="M106" s="60">
        <f t="shared" si="16"/>
        <v>5835.7558139534867</v>
      </c>
      <c r="N106" s="61">
        <f t="shared" si="11"/>
        <v>0.32088005858125485</v>
      </c>
      <c r="O106" s="61">
        <f t="shared" si="12"/>
        <v>0.41249654652472745</v>
      </c>
      <c r="P106" s="62">
        <f t="shared" si="13"/>
        <v>0.33127874956293496</v>
      </c>
      <c r="Q106" s="62">
        <f t="shared" si="7"/>
        <v>4.6176809418723153E-2</v>
      </c>
      <c r="R106" s="63">
        <v>1.51284E-2</v>
      </c>
      <c r="S106" s="67">
        <f t="shared" si="14"/>
        <v>0.30175735264746284</v>
      </c>
      <c r="T106" s="67">
        <f t="shared" si="14"/>
        <v>-1.4340648926776223E-2</v>
      </c>
      <c r="U106" s="67">
        <f t="shared" si="14"/>
        <v>-0.10459178163419791</v>
      </c>
      <c r="V106" s="67">
        <f t="shared" si="14"/>
        <v>-2.4584368816476965E-2</v>
      </c>
      <c r="W106" s="67">
        <f t="shared" si="14"/>
        <v>9.0632655681374574E-2</v>
      </c>
      <c r="X106" s="67">
        <f t="shared" si="14"/>
        <v>-0.28692944352958394</v>
      </c>
    </row>
    <row r="107" spans="1:24">
      <c r="A107" s="57">
        <v>2014</v>
      </c>
      <c r="B107" s="65">
        <v>0.13524421649462237</v>
      </c>
      <c r="C107" s="65">
        <v>3.2719999999999998E-4</v>
      </c>
      <c r="D107" s="65">
        <v>0.10746180452004755</v>
      </c>
      <c r="E107" s="65">
        <v>0.10781775226724913</v>
      </c>
      <c r="F107" s="65">
        <v>4.5071006140053216E-2</v>
      </c>
      <c r="G107" s="65">
        <v>1.2453300124533051E-3</v>
      </c>
      <c r="H107" s="59">
        <f t="shared" si="16"/>
        <v>290115.4150110358</v>
      </c>
      <c r="I107" s="60">
        <f t="shared" si="16"/>
        <v>1982.6598180231942</v>
      </c>
      <c r="J107" s="60">
        <f t="shared" si="16"/>
        <v>6972.3418672788994</v>
      </c>
      <c r="K107" s="60">
        <f t="shared" si="16"/>
        <v>35943.540911706434</v>
      </c>
      <c r="L107" s="60">
        <f t="shared" si="16"/>
        <v>2851.3789199267103</v>
      </c>
      <c r="M107" s="60">
        <f t="shared" si="16"/>
        <v>5843.0232558139514</v>
      </c>
      <c r="N107" s="61">
        <f t="shared" si="11"/>
        <v>0.13491701649462237</v>
      </c>
      <c r="O107" s="61">
        <f t="shared" si="12"/>
        <v>2.7782411974574817E-2</v>
      </c>
      <c r="P107" s="62">
        <f t="shared" si="13"/>
        <v>2.7426464227373243E-2</v>
      </c>
      <c r="Q107" s="62">
        <f t="shared" si="7"/>
        <v>4.5975029375833421E-2</v>
      </c>
      <c r="R107" s="63">
        <v>6.5312E-3</v>
      </c>
      <c r="S107" s="67">
        <f t="shared" si="14"/>
        <v>0.12787782087095012</v>
      </c>
      <c r="T107" s="67">
        <f t="shared" si="14"/>
        <v>-6.1637433593711988E-3</v>
      </c>
      <c r="U107" s="67">
        <f t="shared" si="14"/>
        <v>0.10027568397288378</v>
      </c>
      <c r="V107" s="67">
        <f t="shared" si="14"/>
        <v>0.10062932203914721</v>
      </c>
      <c r="W107" s="67">
        <f t="shared" si="14"/>
        <v>3.8289728266797107E-2</v>
      </c>
      <c r="X107" s="67">
        <f t="shared" si="14"/>
        <v>-5.2515709275049449E-3</v>
      </c>
    </row>
    <row r="108" spans="1:24">
      <c r="A108" s="69">
        <v>2015</v>
      </c>
      <c r="B108" s="65">
        <v>1.3788916411676138E-2</v>
      </c>
      <c r="C108" s="65">
        <v>5.2031872509960154E-4</v>
      </c>
      <c r="D108" s="65">
        <v>1.2842996709792224E-2</v>
      </c>
      <c r="E108" s="65">
        <v>-1.5008531794429472E-2</v>
      </c>
      <c r="F108" s="65">
        <v>5.2000168207568365E-2</v>
      </c>
      <c r="G108" s="65">
        <v>-0.12106135986733002</v>
      </c>
      <c r="H108" s="59">
        <f t="shared" si="16"/>
        <v>294115.79221836175</v>
      </c>
      <c r="I108" s="60">
        <f t="shared" si="16"/>
        <v>1983.6914330520142</v>
      </c>
      <c r="J108" s="60">
        <f t="shared" si="16"/>
        <v>7061.8876309399093</v>
      </c>
      <c r="K108" s="60">
        <f t="shared" si="16"/>
        <v>35404.081135128712</v>
      </c>
      <c r="L108" s="60">
        <f t="shared" si="16"/>
        <v>2999.651103386414</v>
      </c>
      <c r="M108" s="60">
        <f t="shared" si="16"/>
        <v>5135.6589147286804</v>
      </c>
      <c r="N108" s="61">
        <f t="shared" si="11"/>
        <v>1.3268597686576535E-2</v>
      </c>
      <c r="O108" s="61">
        <f t="shared" si="12"/>
        <v>9.4591970188391376E-4</v>
      </c>
      <c r="P108" s="62">
        <f t="shared" si="13"/>
        <v>2.8797448206105608E-2</v>
      </c>
      <c r="Q108" s="62">
        <f t="shared" si="7"/>
        <v>4.5434457313765497E-2</v>
      </c>
      <c r="R108" s="63">
        <v>6.3871999999999991E-3</v>
      </c>
      <c r="S108" s="67">
        <f t="shared" si="14"/>
        <v>7.354740214975175E-3</v>
      </c>
      <c r="T108" s="67">
        <f t="shared" si="14"/>
        <v>-5.8296461589540938E-3</v>
      </c>
      <c r="U108" s="67">
        <f t="shared" si="14"/>
        <v>6.4148239462824552E-3</v>
      </c>
      <c r="V108" s="67">
        <f t="shared" si="14"/>
        <v>-2.1259940303721581E-2</v>
      </c>
      <c r="W108" s="67">
        <f t="shared" si="14"/>
        <v>4.5323478088322489E-2</v>
      </c>
      <c r="X108" s="67">
        <f t="shared" si="14"/>
        <v>-0.12663968685942151</v>
      </c>
    </row>
    <row r="109" spans="1:24">
      <c r="A109" s="70">
        <v>2016</v>
      </c>
      <c r="B109" s="65">
        <v>0.11773080874798171</v>
      </c>
      <c r="C109" s="65">
        <v>3.1612000000000003E-3</v>
      </c>
      <c r="D109" s="65">
        <v>6.9055046987477921E-3</v>
      </c>
      <c r="E109" s="65">
        <v>0.115244739105062</v>
      </c>
      <c r="F109" s="65">
        <v>5.3044535938829185E-2</v>
      </c>
      <c r="G109" s="65">
        <v>8.1037735849056602E-2</v>
      </c>
      <c r="H109" s="59">
        <f t="shared" si="16"/>
        <v>328742.28230178286</v>
      </c>
      <c r="I109" s="60">
        <f t="shared" si="16"/>
        <v>1989.9622784101784</v>
      </c>
      <c r="J109" s="60">
        <f t="shared" si="16"/>
        <v>7110.6535291573937</v>
      </c>
      <c r="K109" s="60">
        <f t="shared" si="16"/>
        <v>39484.215228801069</v>
      </c>
      <c r="L109" s="60">
        <f t="shared" si="16"/>
        <v>3158.766204143943</v>
      </c>
      <c r="M109" s="60">
        <f t="shared" si="16"/>
        <v>5551.8410852713159</v>
      </c>
      <c r="N109" s="61">
        <f t="shared" si="11"/>
        <v>0.11456960874798171</v>
      </c>
      <c r="O109" s="61">
        <f t="shared" si="12"/>
        <v>0.11082530404923392</v>
      </c>
      <c r="P109" s="62">
        <f t="shared" si="13"/>
        <v>2.486069642919711E-3</v>
      </c>
      <c r="Q109" s="62">
        <f t="shared" si="7"/>
        <v>4.6176501247687796E-2</v>
      </c>
      <c r="R109" s="63">
        <v>2.0508000000000002E-2</v>
      </c>
      <c r="S109" s="67">
        <f t="shared" si="14"/>
        <v>9.5269031450984976E-2</v>
      </c>
      <c r="T109" s="67">
        <f t="shared" si="14"/>
        <v>-1.6998200896024218E-2</v>
      </c>
      <c r="U109" s="67">
        <f t="shared" si="14"/>
        <v>-1.3329141272044986E-2</v>
      </c>
      <c r="V109" s="67">
        <f t="shared" si="14"/>
        <v>9.2832921549916403E-2</v>
      </c>
      <c r="W109" s="67">
        <f t="shared" si="14"/>
        <v>3.1882685818072298E-2</v>
      </c>
      <c r="X109" s="67">
        <f t="shared" si="14"/>
        <v>5.9313337915093856E-2</v>
      </c>
    </row>
    <row r="110" spans="1:24">
      <c r="A110" s="70">
        <v>2017</v>
      </c>
      <c r="B110" s="65">
        <v>0.2160548143449928</v>
      </c>
      <c r="C110" s="65">
        <v>9.3411999999999992E-3</v>
      </c>
      <c r="D110" s="65">
        <v>2.8017162707789457E-2</v>
      </c>
      <c r="E110" s="65">
        <v>9.2339050572547543E-2</v>
      </c>
      <c r="F110" s="65">
        <v>6.2069563897053426E-2</v>
      </c>
      <c r="G110" s="65">
        <v>0.12662535997905566</v>
      </c>
      <c r="H110" s="59">
        <f t="shared" si="16"/>
        <v>399768.63507184375</v>
      </c>
      <c r="I110" s="60">
        <f t="shared" si="16"/>
        <v>2008.5509140452634</v>
      </c>
      <c r="J110" s="60">
        <f t="shared" si="16"/>
        <v>7309.8738660425133</v>
      </c>
      <c r="K110" s="60">
        <f t="shared" si="16"/>
        <v>43130.150175630675</v>
      </c>
      <c r="L110" s="60">
        <f t="shared" si="16"/>
        <v>3354.8294448879083</v>
      </c>
      <c r="M110" s="60">
        <f t="shared" si="16"/>
        <v>6254.8449612403074</v>
      </c>
      <c r="N110" s="61">
        <f t="shared" si="11"/>
        <v>0.2067136143449928</v>
      </c>
      <c r="O110" s="61">
        <f t="shared" si="12"/>
        <v>0.18803765163720335</v>
      </c>
      <c r="P110" s="62">
        <f t="shared" si="13"/>
        <v>0.12371576377244525</v>
      </c>
      <c r="Q110" s="62">
        <f t="shared" si="7"/>
        <v>4.7686840373502015E-2</v>
      </c>
      <c r="R110" s="63">
        <v>2.12993E-2</v>
      </c>
      <c r="S110" s="67">
        <f t="shared" si="14"/>
        <v>0.19069386843307612</v>
      </c>
      <c r="T110" s="67">
        <f t="shared" si="14"/>
        <v>-1.1708712617349293E-2</v>
      </c>
      <c r="U110" s="67">
        <f t="shared" si="14"/>
        <v>6.5777610028612266E-3</v>
      </c>
      <c r="V110" s="67">
        <f t="shared" si="14"/>
        <v>6.9558209403010052E-2</v>
      </c>
      <c r="W110" s="67">
        <f t="shared" si="14"/>
        <v>3.9919995927788721E-2</v>
      </c>
      <c r="X110" s="67">
        <f t="shared" si="14"/>
        <v>0.10312947436569853</v>
      </c>
    </row>
    <row r="111" spans="1:24">
      <c r="A111" s="70">
        <v>2018</v>
      </c>
      <c r="B111" s="65">
        <v>-4.2268692890885438E-2</v>
      </c>
      <c r="C111" s="65">
        <v>1.936305220883534E-2</v>
      </c>
      <c r="D111" s="65">
        <v>-1.6692385713402633E-4</v>
      </c>
      <c r="E111" s="65">
        <v>-3.2694196838362347E-2</v>
      </c>
      <c r="F111" s="65">
        <v>4.5192288054245022E-2</v>
      </c>
      <c r="G111" s="65">
        <v>-9.2951200619674212E-3</v>
      </c>
      <c r="H111" s="59">
        <f t="shared" si="16"/>
        <v>382870.93740858353</v>
      </c>
      <c r="I111" s="60">
        <f t="shared" si="16"/>
        <v>2047.4425902580256</v>
      </c>
      <c r="J111" s="60">
        <f t="shared" si="16"/>
        <v>7308.6536737016304</v>
      </c>
      <c r="K111" s="60">
        <f t="shared" si="16"/>
        <v>41720.044556120476</v>
      </c>
      <c r="L111" s="60">
        <f t="shared" si="16"/>
        <v>3506.4418635341453</v>
      </c>
      <c r="M111" s="60">
        <f t="shared" si="16"/>
        <v>6196.7054263565869</v>
      </c>
      <c r="N111" s="61">
        <f t="shared" si="11"/>
        <v>-6.1631745099720775E-2</v>
      </c>
      <c r="O111" s="61">
        <f t="shared" si="12"/>
        <v>-4.2101769033751416E-2</v>
      </c>
      <c r="P111" s="62">
        <f t="shared" si="13"/>
        <v>-9.5744960525230918E-3</v>
      </c>
      <c r="Q111" s="62">
        <f t="shared" si="7"/>
        <v>4.6608669094632571E-2</v>
      </c>
      <c r="R111" s="63">
        <v>2.0023800000000001E-2</v>
      </c>
      <c r="S111" s="67">
        <f t="shared" si="14"/>
        <v>-6.1069646503233876E-2</v>
      </c>
      <c r="T111" s="67">
        <f t="shared" si="14"/>
        <v>-6.477768373293058E-4</v>
      </c>
      <c r="U111" s="67">
        <f t="shared" si="14"/>
        <v>-1.9794365442388662E-2</v>
      </c>
      <c r="V111" s="67">
        <f t="shared" si="14"/>
        <v>-5.1683104686736092E-2</v>
      </c>
      <c r="W111" s="67">
        <f t="shared" si="14"/>
        <v>2.4674412552182723E-2</v>
      </c>
      <c r="X111" s="67">
        <f t="shared" si="14"/>
        <v>-2.8743368597837993E-2</v>
      </c>
    </row>
    <row r="112" spans="1:24">
      <c r="A112" s="57">
        <v>2019</v>
      </c>
      <c r="B112" s="65">
        <v>0.31211679996808755</v>
      </c>
      <c r="C112" s="65">
        <v>2.0624799999999999E-2</v>
      </c>
      <c r="D112" s="65">
        <v>9.6356307415483927E-2</v>
      </c>
      <c r="E112" s="65">
        <v>0.15247765775278477</v>
      </c>
      <c r="F112" s="65">
        <v>3.685827760218463E-2</v>
      </c>
      <c r="G112" s="65">
        <v>0.19077404222048466</v>
      </c>
      <c r="H112" s="59">
        <f t="shared" si="16"/>
        <v>502371.38919333258</v>
      </c>
      <c r="I112" s="60">
        <f t="shared" si="16"/>
        <v>2089.6706841935793</v>
      </c>
      <c r="J112" s="60">
        <f t="shared" si="16"/>
        <v>8012.8885538781296</v>
      </c>
      <c r="K112" s="60">
        <f t="shared" si="16"/>
        <v>48081.41923137955</v>
      </c>
      <c r="L112" s="60">
        <f t="shared" si="16"/>
        <v>3635.6832711362085</v>
      </c>
      <c r="M112" s="60">
        <f t="shared" si="16"/>
        <v>7378.8759689922445</v>
      </c>
      <c r="N112" s="61">
        <f t="shared" si="11"/>
        <v>0.29149199996808756</v>
      </c>
      <c r="O112" s="61">
        <f t="shared" si="12"/>
        <v>0.21576049255260363</v>
      </c>
      <c r="P112" s="62">
        <f t="shared" si="13"/>
        <v>0.15963914221530279</v>
      </c>
      <c r="Q112" s="62">
        <f t="shared" si="7"/>
        <v>4.8253684406804442E-2</v>
      </c>
      <c r="R112" s="63">
        <v>2.3139900000000001E-2</v>
      </c>
      <c r="S112" s="67">
        <f t="shared" si="14"/>
        <v>0.28244123796568532</v>
      </c>
      <c r="T112" s="67">
        <f t="shared" si="14"/>
        <v>-2.4582171020797183E-3</v>
      </c>
      <c r="U112" s="67">
        <f t="shared" si="14"/>
        <v>7.1560504497462984E-2</v>
      </c>
      <c r="V112" s="67">
        <f t="shared" si="14"/>
        <v>0.12641258321837001</v>
      </c>
      <c r="W112" s="67">
        <f t="shared" si="14"/>
        <v>1.340811515823459E-2</v>
      </c>
      <c r="X112" s="67">
        <f t="shared" si="14"/>
        <v>0.16384283539375666</v>
      </c>
    </row>
    <row r="113" spans="1:25">
      <c r="A113" s="70">
        <v>2020</v>
      </c>
      <c r="B113" s="65">
        <v>0.18023201827422478</v>
      </c>
      <c r="C113" s="65">
        <v>3.547410358565737E-3</v>
      </c>
      <c r="D113" s="65">
        <v>0.1133189764661412</v>
      </c>
      <c r="E113" s="65">
        <v>0.10601187472880466</v>
      </c>
      <c r="F113" s="65">
        <v>0.10432135991858571</v>
      </c>
      <c r="G113" s="65">
        <v>0.24169402495075509</v>
      </c>
      <c r="H113" s="59">
        <f t="shared" si="16"/>
        <v>592914.79859087302</v>
      </c>
      <c r="I113" s="60">
        <f t="shared" si="16"/>
        <v>2097.0836036246787</v>
      </c>
      <c r="J113" s="60">
        <f t="shared" si="16"/>
        <v>8920.9008833408589</v>
      </c>
      <c r="K113" s="60">
        <f t="shared" si="16"/>
        <v>53178.620623719697</v>
      </c>
      <c r="L113" s="60">
        <f t="shared" si="16"/>
        <v>4014.96269421439</v>
      </c>
      <c r="M113" s="60">
        <f t="shared" si="16"/>
        <v>9162.3062015503838</v>
      </c>
      <c r="N113" s="61">
        <f t="shared" si="11"/>
        <v>0.17668460791565904</v>
      </c>
      <c r="O113" s="61">
        <f t="shared" si="12"/>
        <v>6.6913041808083579E-2</v>
      </c>
      <c r="P113" s="71">
        <f t="shared" si="13"/>
        <v>7.4220143545420114E-2</v>
      </c>
      <c r="Q113" s="62">
        <f t="shared" si="7"/>
        <v>4.8442663414424603E-2</v>
      </c>
      <c r="R113" s="63">
        <v>1.32204E-2</v>
      </c>
      <c r="S113" s="72">
        <f t="shared" si="14"/>
        <v>0.16483246712583433</v>
      </c>
      <c r="T113" s="72">
        <f t="shared" si="14"/>
        <v>-9.5467774251626336E-3</v>
      </c>
      <c r="U113" s="72">
        <f t="shared" si="14"/>
        <v>9.8792500097847791E-2</v>
      </c>
      <c r="V113" s="72">
        <f t="shared" si="14"/>
        <v>9.1580740704396257E-2</v>
      </c>
      <c r="W113" s="72">
        <f t="shared" si="14"/>
        <v>8.991228356494374E-2</v>
      </c>
      <c r="X113" s="67">
        <f t="shared" si="14"/>
        <v>0.22549252359186123</v>
      </c>
    </row>
    <row r="114" spans="1:25">
      <c r="A114" s="70">
        <v>2021</v>
      </c>
      <c r="B114" s="65">
        <v>0.28468851751964158</v>
      </c>
      <c r="C114" s="65">
        <v>4.5019920318725102E-4</v>
      </c>
      <c r="D114" s="65">
        <v>-4.416034448604475E-2</v>
      </c>
      <c r="E114" s="65">
        <v>9.3344457198752777E-3</v>
      </c>
      <c r="F114" s="65">
        <v>0.18874952003071788</v>
      </c>
      <c r="G114" s="65">
        <v>-3.7544286394162185E-2</v>
      </c>
      <c r="H114" s="59">
        <f t="shared" si="16"/>
        <v>761710.83361716557</v>
      </c>
      <c r="I114" s="60">
        <f t="shared" si="16"/>
        <v>2098.0277089920478</v>
      </c>
      <c r="J114" s="60">
        <f t="shared" si="16"/>
        <v>8526.9508272066651</v>
      </c>
      <c r="K114" s="60">
        <f t="shared" si="16"/>
        <v>53675.013571389645</v>
      </c>
      <c r="L114" s="60">
        <f t="shared" si="16"/>
        <v>4772.7849756885944</v>
      </c>
      <c r="M114" s="60">
        <f t="shared" si="16"/>
        <v>8818.3139534883685</v>
      </c>
      <c r="N114" s="61">
        <f t="shared" si="11"/>
        <v>0.28423831831645435</v>
      </c>
      <c r="O114" s="61">
        <f t="shared" si="12"/>
        <v>0.3288488620056863</v>
      </c>
      <c r="P114" s="71">
        <f t="shared" si="13"/>
        <v>0.27535407179976629</v>
      </c>
      <c r="Q114" s="62">
        <f t="shared" si="7"/>
        <v>5.1322006296357525E-2</v>
      </c>
      <c r="R114" s="63">
        <v>7.1944599999999997E-2</v>
      </c>
      <c r="S114" s="72">
        <f t="shared" si="14"/>
        <v>0.19846540345428454</v>
      </c>
      <c r="T114" s="72">
        <f t="shared" si="14"/>
        <v>-6.6695984845497214E-2</v>
      </c>
      <c r="U114" s="72">
        <f t="shared" si="14"/>
        <v>-0.10831244869002066</v>
      </c>
      <c r="V114" s="72">
        <f t="shared" si="14"/>
        <v>-5.8408013138108728E-2</v>
      </c>
      <c r="W114" s="72">
        <f>(1+F114)/(1+$R114)-1</f>
        <v>0.10896544469809166</v>
      </c>
      <c r="X114" s="67">
        <f t="shared" si="14"/>
        <v>-0.1021404337445817</v>
      </c>
    </row>
    <row r="115" spans="1:25">
      <c r="A115" s="70">
        <v>2022</v>
      </c>
      <c r="B115" s="65">
        <v>-0.18037505927178585</v>
      </c>
      <c r="C115" s="65">
        <v>2.0247791164658632E-2</v>
      </c>
      <c r="D115" s="65">
        <v>-0.1782817153825067</v>
      </c>
      <c r="E115" s="65">
        <v>-0.15144078553554258</v>
      </c>
      <c r="F115" s="65">
        <v>5.667711058712066E-2</v>
      </c>
      <c r="G115" s="65">
        <v>5.494203615185933E-3</v>
      </c>
      <c r="H115" s="59">
        <f t="shared" si="16"/>
        <v>624317.19685550791</v>
      </c>
      <c r="I115" s="60">
        <f t="shared" si="16"/>
        <v>2140.5081359013857</v>
      </c>
      <c r="J115" s="60">
        <f t="shared" si="16"/>
        <v>7006.751406749976</v>
      </c>
      <c r="K115" s="60">
        <f t="shared" si="16"/>
        <v>45546.427352507482</v>
      </c>
      <c r="L115" s="73">
        <f t="shared" si="16"/>
        <v>5043.2926375642446</v>
      </c>
      <c r="M115" s="60">
        <f t="shared" si="16"/>
        <v>8866.7635658914696</v>
      </c>
      <c r="N115" s="61">
        <f>B115-C115</f>
        <v>-0.20062285043644448</v>
      </c>
      <c r="O115" s="61">
        <f>B115-D115</f>
        <v>-2.0933438892791478E-3</v>
      </c>
      <c r="P115" s="71">
        <f t="shared" si="13"/>
        <v>-2.8934273736243271E-2</v>
      </c>
      <c r="Q115" s="62">
        <f>((H115/100)^(1/(A115-$A$21+1)))-((J115/100)^(1/(A115-$A$21+1)))</f>
        <v>5.0609420169760888E-2</v>
      </c>
      <c r="R115" s="63">
        <v>6.4449400000000004E-2</v>
      </c>
      <c r="S115" s="72">
        <f t="shared" si="14"/>
        <v>-0.23000103083508328</v>
      </c>
      <c r="T115" s="72">
        <f t="shared" si="14"/>
        <v>-4.1525326460178813E-2</v>
      </c>
      <c r="U115" s="72">
        <f t="shared" si="14"/>
        <v>-0.22803443299653947</v>
      </c>
      <c r="V115" s="72">
        <f t="shared" si="14"/>
        <v>-0.20281864552278639</v>
      </c>
      <c r="W115" s="72">
        <f>(1+F115)/(1+$R115)-1</f>
        <v>-7.3016992755873256E-3</v>
      </c>
      <c r="X115" s="72">
        <f t="shared" si="14"/>
        <v>-5.5385626019249012E-2</v>
      </c>
    </row>
    <row r="116" spans="1:25">
      <c r="A116" s="74">
        <v>2023</v>
      </c>
      <c r="B116" s="65">
        <v>0.26060684985024096</v>
      </c>
      <c r="C116" s="65">
        <v>5.0703614457831322E-2</v>
      </c>
      <c r="D116" s="65">
        <v>3.8800000000000001E-2</v>
      </c>
      <c r="E116" s="75">
        <v>8.7356722013658433E-2</v>
      </c>
      <c r="F116" s="75">
        <v>6.2926469739116753E-2</v>
      </c>
      <c r="G116" s="65">
        <v>0.13262116824217252</v>
      </c>
      <c r="H116" s="59">
        <f t="shared" si="16"/>
        <v>787018.53483535454</v>
      </c>
      <c r="I116" s="60">
        <f t="shared" si="16"/>
        <v>2249.0396351679806</v>
      </c>
      <c r="J116" s="60">
        <f t="shared" si="16"/>
        <v>7278.6133613318743</v>
      </c>
      <c r="K116" s="60">
        <f t="shared" si="16"/>
        <v>49525.213945455769</v>
      </c>
      <c r="L116" s="73">
        <f>L115*(1+F116)</f>
        <v>5360.6492391074416</v>
      </c>
      <c r="M116" s="73">
        <f>M115*(1+G116)</f>
        <v>10042.684108527128</v>
      </c>
      <c r="N116" s="61">
        <f>B116-C116</f>
        <v>0.20990323539240963</v>
      </c>
      <c r="O116" s="61">
        <f>B116-D116</f>
        <v>0.22180684985024096</v>
      </c>
      <c r="P116" s="71">
        <f>B116-E116</f>
        <v>0.17325012783658253</v>
      </c>
      <c r="Q116" s="62">
        <f>((H116/100)^(1/(A116-$A$21+1)))-((J116/100)^(1/(A116-$A$21+1)))</f>
        <v>5.2277478113130105E-2</v>
      </c>
      <c r="R116" s="63">
        <v>3.1200000000000002E-2</v>
      </c>
      <c r="S116" s="72">
        <f>(1+B116)/(1+$R116)-1</f>
        <v>0.22246591335360844</v>
      </c>
      <c r="T116" s="72">
        <f>(1+C116)/(1+$R116)-1</f>
        <v>1.8913512856702175E-2</v>
      </c>
      <c r="U116" s="72">
        <f>(1+D116)/(1+$R116)-1</f>
        <v>7.3700543056633983E-3</v>
      </c>
      <c r="V116" s="72">
        <f>(1+E116)/(1+$R116)-1</f>
        <v>5.4457643535355427E-2</v>
      </c>
      <c r="W116" s="72">
        <f>(1+F116)/(1+$R116)-1</f>
        <v>3.0766553276878161E-2</v>
      </c>
      <c r="X116" s="72">
        <f>(1+G116)/(1+$R116)-1</f>
        <v>9.835256811692461E-2</v>
      </c>
    </row>
    <row r="117" spans="1:25" ht="17" thickBot="1">
      <c r="J117" s="76"/>
      <c r="K117" s="77"/>
      <c r="L117" s="77"/>
      <c r="M117" s="78"/>
      <c r="R117" s="29"/>
      <c r="T117" s="28"/>
    </row>
    <row r="118" spans="1:25" ht="17" thickBot="1">
      <c r="A118" s="117" t="s">
        <v>665</v>
      </c>
      <c r="B118" s="118"/>
      <c r="C118" s="118"/>
      <c r="D118" s="118"/>
      <c r="E118" s="118"/>
      <c r="F118" s="118"/>
      <c r="G118" s="119"/>
      <c r="H118" s="47"/>
      <c r="I118" s="79"/>
      <c r="J118" s="120" t="s">
        <v>666</v>
      </c>
      <c r="K118" s="121"/>
      <c r="L118" s="122" t="s">
        <v>667</v>
      </c>
      <c r="M118" s="123"/>
      <c r="R118" s="117" t="s">
        <v>668</v>
      </c>
      <c r="S118" s="118"/>
      <c r="T118" s="118"/>
      <c r="U118" s="118"/>
      <c r="V118" s="118"/>
      <c r="W118" s="118"/>
      <c r="X118" s="119"/>
    </row>
    <row r="119" spans="1:25" ht="68">
      <c r="A119" s="80" t="s">
        <v>669</v>
      </c>
      <c r="B119" s="81">
        <f t="shared" ref="B119:G119" si="17">AVERAGE(B21:B116)</f>
        <v>0.11657849316284237</v>
      </c>
      <c r="C119" s="81">
        <f t="shared" si="17"/>
        <v>3.3384696618560063E-2</v>
      </c>
      <c r="D119" s="81">
        <f t="shared" si="17"/>
        <v>4.8586785606841654E-2</v>
      </c>
      <c r="E119" s="81">
        <f t="shared" si="17"/>
        <v>6.9536668579181324E-2</v>
      </c>
      <c r="F119" s="81">
        <f t="shared" si="17"/>
        <v>4.418145597965447E-2</v>
      </c>
      <c r="G119" s="81">
        <f t="shared" si="17"/>
        <v>6.554177020740598E-2</v>
      </c>
      <c r="H119" s="23"/>
      <c r="I119" s="23"/>
      <c r="J119" s="82" t="s">
        <v>670</v>
      </c>
      <c r="K119" s="82" t="s">
        <v>671</v>
      </c>
      <c r="L119" s="82" t="s">
        <v>670</v>
      </c>
      <c r="M119" s="82" t="s">
        <v>671</v>
      </c>
      <c r="R119" s="83"/>
      <c r="S119" s="84" t="s">
        <v>659</v>
      </c>
      <c r="T119" s="84" t="s">
        <v>660</v>
      </c>
      <c r="U119" s="84" t="s">
        <v>661</v>
      </c>
      <c r="V119" s="84" t="s">
        <v>662</v>
      </c>
      <c r="W119" s="84" t="s">
        <v>663</v>
      </c>
      <c r="X119" s="84" t="s">
        <v>664</v>
      </c>
    </row>
    <row r="120" spans="1:25">
      <c r="A120" s="85" t="s">
        <v>672</v>
      </c>
      <c r="B120" s="86">
        <f t="shared" ref="B120:G120" si="18">AVERAGE(B67:B116)</f>
        <v>0.12538526727029611</v>
      </c>
      <c r="C120" s="86">
        <f t="shared" si="18"/>
        <v>4.3589751211456258E-2</v>
      </c>
      <c r="D120" s="86">
        <f t="shared" si="18"/>
        <v>6.593433114607683E-2</v>
      </c>
      <c r="E120" s="86">
        <f t="shared" si="18"/>
        <v>8.8158176472439911E-2</v>
      </c>
      <c r="F120" s="86">
        <f t="shared" si="18"/>
        <v>5.5598364227668673E-2</v>
      </c>
      <c r="G120" s="86">
        <f t="shared" si="18"/>
        <v>8.3626259466218544E-2</v>
      </c>
      <c r="H120" s="46"/>
      <c r="I120" s="46"/>
      <c r="J120" s="86">
        <f>B119-C119</f>
        <v>8.31937965442823E-2</v>
      </c>
      <c r="K120" s="86">
        <f>B119-D119</f>
        <v>6.7991707556000716E-2</v>
      </c>
      <c r="L120" s="24">
        <f>STDEV(N21:N116)/(($A$116-$A$21+1)^0.5)</f>
        <v>2.0281402852918649E-2</v>
      </c>
      <c r="M120" s="24">
        <f>STDEV(O21:O116)/(($A$116-$A$21+1)^0.5)</f>
        <v>2.136736485935305E-2</v>
      </c>
      <c r="R120" s="80" t="s">
        <v>669</v>
      </c>
      <c r="S120" s="24">
        <f t="shared" ref="S120:X120" si="19">AVERAGE(S21:S116)</f>
        <v>8.4038420978469183E-2</v>
      </c>
      <c r="T120" s="24">
        <f t="shared" si="19"/>
        <v>3.1521929081669447E-3</v>
      </c>
      <c r="U120" s="24">
        <f t="shared" si="19"/>
        <v>1.8600207623565235E-2</v>
      </c>
      <c r="V120" s="24">
        <f t="shared" si="19"/>
        <v>3.8964292416927858E-2</v>
      </c>
      <c r="W120" s="24">
        <f t="shared" si="19"/>
        <v>1.2786417375336397E-2</v>
      </c>
      <c r="X120" s="24">
        <f t="shared" si="19"/>
        <v>3.2739849365627356E-2</v>
      </c>
    </row>
    <row r="121" spans="1:25">
      <c r="A121" s="85" t="s">
        <v>673</v>
      </c>
      <c r="B121" s="86">
        <f t="shared" ref="B121:G121" si="20">AVERAGE(B107:B116)</f>
        <v>0.12978191894487967</v>
      </c>
      <c r="C121" s="86">
        <f t="shared" si="20"/>
        <v>1.2828678611817787E-2</v>
      </c>
      <c r="D121" s="86">
        <f t="shared" si="20"/>
        <v>1.810937687923167E-2</v>
      </c>
      <c r="E121" s="86">
        <f t="shared" si="20"/>
        <v>4.7143872799164745E-2</v>
      </c>
      <c r="F121" s="86">
        <f t="shared" si="20"/>
        <v>7.0691030011547487E-2</v>
      </c>
      <c r="G121" s="86">
        <f t="shared" si="20"/>
        <v>6.1159109854570418E-2</v>
      </c>
      <c r="H121" s="46"/>
      <c r="I121" s="46"/>
      <c r="J121" s="86">
        <f>B120-C120</f>
        <v>8.1795516058839862E-2</v>
      </c>
      <c r="K121" s="86">
        <f>B120-D120</f>
        <v>5.9450936124219284E-2</v>
      </c>
      <c r="L121" s="86">
        <f>STDEV(N67:N116)/(($A$116-$A$67+1)^0.5)</f>
        <v>2.446119319205476E-2</v>
      </c>
      <c r="M121" s="86">
        <f>STDEV(O67:O116)/(($A$116-$A$67+1)^0.5)</f>
        <v>2.7325166458689775E-2</v>
      </c>
      <c r="R121" s="85" t="s">
        <v>672</v>
      </c>
      <c r="S121" s="86">
        <f t="shared" ref="S121:X121" si="21">AVERAGE(S67:S116)</f>
        <v>8.4191824190056982E-2</v>
      </c>
      <c r="T121" s="86">
        <f t="shared" si="21"/>
        <v>4.5697754536127237E-3</v>
      </c>
      <c r="U121" s="86">
        <f t="shared" si="21"/>
        <v>2.7310082077033195E-2</v>
      </c>
      <c r="V121" s="86">
        <f t="shared" si="21"/>
        <v>4.8721048396831383E-2</v>
      </c>
      <c r="W121" s="86">
        <f t="shared" si="21"/>
        <v>1.6131781018441666E-2</v>
      </c>
      <c r="X121" s="86">
        <f t="shared" si="21"/>
        <v>4.1054850472210497E-2</v>
      </c>
    </row>
    <row r="122" spans="1:25" ht="17" thickBot="1">
      <c r="J122" s="86">
        <f>B121-C121</f>
        <v>0.11695324033306188</v>
      </c>
      <c r="K122" s="86">
        <f>B121-D121</f>
        <v>0.111672542065648</v>
      </c>
      <c r="L122" s="86">
        <f>STDEV(N107:N116)/(($A$116-$A$107+1)^0.5)</f>
        <v>4.9725758253884568E-2</v>
      </c>
      <c r="M122" s="86">
        <f>STDEV(O107:O116)/(($A$116-$A$107+1)^0.5)</f>
        <v>3.8564856793299435E-2</v>
      </c>
      <c r="R122" s="85" t="s">
        <v>673</v>
      </c>
      <c r="S122" s="86">
        <f t="shared" ref="S122:X122" si="22">AVERAGE(S107:S116)</f>
        <v>9.9832980553108186E-2</v>
      </c>
      <c r="T122" s="86">
        <f t="shared" si="22"/>
        <v>-1.4266087284524432E-2</v>
      </c>
      <c r="U122" s="86">
        <f t="shared" si="22"/>
        <v>-7.847906057799215E-3</v>
      </c>
      <c r="V122" s="86">
        <f t="shared" si="22"/>
        <v>2.0130171679884255E-2</v>
      </c>
      <c r="W122" s="86">
        <f t="shared" si="22"/>
        <v>4.1584099807572418E-2</v>
      </c>
      <c r="X122" s="86">
        <f t="shared" si="22"/>
        <v>3.3197005323473971E-2</v>
      </c>
    </row>
    <row r="123" spans="1:25" ht="17" thickBot="1">
      <c r="A123" s="117" t="s">
        <v>674</v>
      </c>
      <c r="B123" s="118"/>
      <c r="C123" s="118"/>
      <c r="D123" s="118"/>
      <c r="E123" s="118"/>
      <c r="F123" s="118"/>
      <c r="G123" s="119"/>
      <c r="H123" s="47"/>
      <c r="I123" s="47"/>
      <c r="K123" s="87" t="s">
        <v>666</v>
      </c>
      <c r="L123" s="87"/>
      <c r="M123" s="87"/>
      <c r="T123" s="28"/>
      <c r="Y123"/>
    </row>
    <row r="124" spans="1:25">
      <c r="A124" s="80" t="s">
        <v>669</v>
      </c>
      <c r="B124" s="88">
        <f t="shared" ref="B124:G124" si="23">(H116/100)^(1/($A$116-$A$21+1))-1</f>
        <v>9.795155131568678E-2</v>
      </c>
      <c r="C124" s="88">
        <f t="shared" si="23"/>
        <v>3.2959521569863703E-2</v>
      </c>
      <c r="D124" s="88">
        <f t="shared" si="23"/>
        <v>4.5674073202556675E-2</v>
      </c>
      <c r="E124" s="88">
        <f t="shared" si="23"/>
        <v>6.6770771483351199E-2</v>
      </c>
      <c r="F124" s="88">
        <f t="shared" si="23"/>
        <v>4.2347864928397039E-2</v>
      </c>
      <c r="G124" s="88">
        <f t="shared" si="23"/>
        <v>4.9186278389818705E-2</v>
      </c>
      <c r="H124" s="89"/>
      <c r="I124" s="89"/>
      <c r="J124" s="90" t="s">
        <v>670</v>
      </c>
      <c r="K124" s="90" t="s">
        <v>671</v>
      </c>
      <c r="T124"/>
      <c r="U124"/>
      <c r="V124"/>
      <c r="W124"/>
      <c r="X124"/>
      <c r="Y124"/>
    </row>
    <row r="125" spans="1:25">
      <c r="A125" s="85" t="s">
        <v>672</v>
      </c>
      <c r="B125" s="91">
        <f t="shared" ref="B125:G125" si="24">(H116/H66)^(1/($A$116-$A$66))-1</f>
        <v>0.11097823475676272</v>
      </c>
      <c r="C125" s="91">
        <f t="shared" si="24"/>
        <v>4.30386237499647E-2</v>
      </c>
      <c r="D125" s="91">
        <f t="shared" si="24"/>
        <v>6.1247765884341554E-2</v>
      </c>
      <c r="E125" s="91">
        <f t="shared" si="24"/>
        <v>8.4851931954631254E-2</v>
      </c>
      <c r="F125" s="91">
        <f t="shared" si="24"/>
        <v>5.4037475786791633E-2</v>
      </c>
      <c r="G125" s="91">
        <f t="shared" si="24"/>
        <v>6.0052715551885738E-2</v>
      </c>
      <c r="H125" s="89"/>
      <c r="I125" s="89"/>
      <c r="J125" s="86">
        <f>B124-C124</f>
        <v>6.4992029745823077E-2</v>
      </c>
      <c r="K125" s="86">
        <f>B124-D124</f>
        <v>5.2277478113130105E-2</v>
      </c>
      <c r="L125" s="92"/>
      <c r="M125" s="92"/>
      <c r="T125"/>
      <c r="U125"/>
      <c r="V125"/>
      <c r="W125"/>
      <c r="X125"/>
      <c r="Y125"/>
    </row>
    <row r="126" spans="1:25">
      <c r="A126" s="85" t="s">
        <v>673</v>
      </c>
      <c r="B126" s="91">
        <f t="shared" ref="B126:G126" si="25">(H116/H106)^(1/($A$116-$A$106))-1</f>
        <v>0.11905219988153348</v>
      </c>
      <c r="C126" s="91">
        <f t="shared" si="25"/>
        <v>1.2719326909745643E-2</v>
      </c>
      <c r="D126" s="91">
        <f t="shared" si="25"/>
        <v>1.4611717050573514E-2</v>
      </c>
      <c r="E126" s="91">
        <f t="shared" si="25"/>
        <v>4.3199528738537385E-2</v>
      </c>
      <c r="F126" s="91">
        <f t="shared" si="25"/>
        <v>6.986954632533493E-2</v>
      </c>
      <c r="G126" s="91">
        <f t="shared" si="25"/>
        <v>5.5784469032248207E-2</v>
      </c>
      <c r="H126" s="89"/>
      <c r="I126" s="89"/>
      <c r="J126" s="86">
        <f>B125-C125</f>
        <v>6.7939611006798017E-2</v>
      </c>
      <c r="K126" s="86">
        <f>B125-D125</f>
        <v>4.9730468872421163E-2</v>
      </c>
      <c r="L126" s="92"/>
      <c r="M126" s="92"/>
      <c r="T126"/>
      <c r="U126"/>
      <c r="V126"/>
      <c r="W126"/>
      <c r="X126"/>
      <c r="Y126"/>
    </row>
    <row r="127" spans="1:25">
      <c r="J127" s="86">
        <f>B126-C126</f>
        <v>0.10633287297178784</v>
      </c>
      <c r="K127" s="86">
        <f>B126-D126</f>
        <v>0.10444048283095997</v>
      </c>
      <c r="L127" s="92"/>
      <c r="M127" s="92"/>
      <c r="T127"/>
      <c r="U127"/>
      <c r="V127"/>
      <c r="W127"/>
      <c r="X127"/>
    </row>
    <row r="128" spans="1:25">
      <c r="A128" s="28" t="s">
        <v>675</v>
      </c>
    </row>
    <row r="129" spans="1:1">
      <c r="A129" s="28" t="s">
        <v>676</v>
      </c>
    </row>
  </sheetData>
  <mergeCells count="17">
    <mergeCell ref="R19:X19"/>
    <mergeCell ref="B1:I1"/>
    <mergeCell ref="B2:I2"/>
    <mergeCell ref="B3:E3"/>
    <mergeCell ref="H3:I3"/>
    <mergeCell ref="B4:I4"/>
    <mergeCell ref="B5:I5"/>
    <mergeCell ref="B6:I6"/>
    <mergeCell ref="B7:I7"/>
    <mergeCell ref="B19:G19"/>
    <mergeCell ref="H19:M19"/>
    <mergeCell ref="N19:Q19"/>
    <mergeCell ref="A118:G118"/>
    <mergeCell ref="J118:K118"/>
    <mergeCell ref="L118:M118"/>
    <mergeCell ref="R118:X118"/>
    <mergeCell ref="A123:G123"/>
  </mergeCells>
  <hyperlinks>
    <hyperlink ref="B2" r:id="rId1" xr:uid="{8EA7A4A0-3EF0-41CF-A57A-93AE96654C6B}"/>
    <hyperlink ref="B4" r:id="rId2" xr:uid="{ADCDB666-BDAD-4E81-8181-B37F78721F00}"/>
    <hyperlink ref="B5" r:id="rId3" display="http://www.stern.nyu.edu/~adamodar/New_Home_Page/data.html" xr:uid="{C4E55A89-18B5-4E0C-9E7F-E7CCB931024C}"/>
    <hyperlink ref="B6" r:id="rId4" display="http://www.stern.nyu.edu/~adamodar/pc/datasets/indname.xls" xr:uid="{F362316A-7DF6-4C31-B2E5-BA1DB38F19D7}"/>
    <hyperlink ref="B7" r:id="rId5" display="http://www.stern.nyu.edu/~adamodar/New_Home_Page/datafile/variable.htm" xr:uid="{7E9624F8-46CD-4B5F-85E5-6A9A34CCDD9E}"/>
  </hyperlinks>
  <pageMargins left="0.7" right="0.7" top="0.75" bottom="0.75" header="0.3" footer="0.3"/>
  <legacyDrawing r:id="rId6"/>
  <tableParts count="1"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E81F-B1D4-4F7E-AE5A-5CEDC9B736BE}">
  <sheetPr>
    <tabColor theme="5" tint="0.79998168889431442"/>
  </sheetPr>
  <dimension ref="A1:P106"/>
  <sheetViews>
    <sheetView showGridLines="0" workbookViewId="0">
      <selection activeCell="G117" sqref="G117"/>
    </sheetView>
  </sheetViews>
  <sheetFormatPr baseColWidth="10" defaultColWidth="8.83203125" defaultRowHeight="15"/>
  <cols>
    <col min="1" max="1" width="29.1640625" customWidth="1"/>
    <col min="2" max="2" width="17.6640625" customWidth="1"/>
    <col min="3" max="3" width="11.1640625" customWidth="1"/>
    <col min="4" max="4" width="13.6640625" customWidth="1"/>
    <col min="5" max="5" width="11" customWidth="1"/>
    <col min="6" max="6" width="16.6640625" customWidth="1"/>
    <col min="7" max="7" width="17.6640625" customWidth="1"/>
    <col min="8" max="8" width="32.5" customWidth="1"/>
    <col min="9" max="9" width="11.6640625" customWidth="1"/>
    <col min="10" max="10" width="27.6640625" customWidth="1"/>
    <col min="11" max="11" width="18.5" customWidth="1"/>
    <col min="12" max="15" width="11.1640625" customWidth="1"/>
    <col min="16" max="16" width="12.1640625" style="95" customWidth="1"/>
    <col min="17" max="256" width="11.1640625" customWidth="1"/>
    <col min="257" max="257" width="29.1640625" customWidth="1"/>
    <col min="258" max="258" width="17.6640625" customWidth="1"/>
    <col min="259" max="259" width="11.1640625" customWidth="1"/>
    <col min="260" max="260" width="13.6640625" customWidth="1"/>
    <col min="261" max="261" width="11" customWidth="1"/>
    <col min="262" max="262" width="16.6640625" customWidth="1"/>
    <col min="263" max="263" width="17.6640625" customWidth="1"/>
    <col min="264" max="264" width="32.5" customWidth="1"/>
    <col min="265" max="265" width="11.6640625" customWidth="1"/>
    <col min="266" max="266" width="27.6640625" customWidth="1"/>
    <col min="267" max="267" width="18.5" customWidth="1"/>
    <col min="268" max="271" width="11.1640625" customWidth="1"/>
    <col min="272" max="272" width="12.1640625" customWidth="1"/>
    <col min="273" max="512" width="11.1640625" customWidth="1"/>
    <col min="513" max="513" width="29.1640625" customWidth="1"/>
    <col min="514" max="514" width="17.6640625" customWidth="1"/>
    <col min="515" max="515" width="11.1640625" customWidth="1"/>
    <col min="516" max="516" width="13.6640625" customWidth="1"/>
    <col min="517" max="517" width="11" customWidth="1"/>
    <col min="518" max="518" width="16.6640625" customWidth="1"/>
    <col min="519" max="519" width="17.6640625" customWidth="1"/>
    <col min="520" max="520" width="32.5" customWidth="1"/>
    <col min="521" max="521" width="11.6640625" customWidth="1"/>
    <col min="522" max="522" width="27.6640625" customWidth="1"/>
    <col min="523" max="523" width="18.5" customWidth="1"/>
    <col min="524" max="527" width="11.1640625" customWidth="1"/>
    <col min="528" max="528" width="12.1640625" customWidth="1"/>
    <col min="529" max="768" width="11.1640625" customWidth="1"/>
    <col min="769" max="769" width="29.1640625" customWidth="1"/>
    <col min="770" max="770" width="17.6640625" customWidth="1"/>
    <col min="771" max="771" width="11.1640625" customWidth="1"/>
    <col min="772" max="772" width="13.6640625" customWidth="1"/>
    <col min="773" max="773" width="11" customWidth="1"/>
    <col min="774" max="774" width="16.6640625" customWidth="1"/>
    <col min="775" max="775" width="17.6640625" customWidth="1"/>
    <col min="776" max="776" width="32.5" customWidth="1"/>
    <col min="777" max="777" width="11.6640625" customWidth="1"/>
    <col min="778" max="778" width="27.6640625" customWidth="1"/>
    <col min="779" max="779" width="18.5" customWidth="1"/>
    <col min="780" max="783" width="11.1640625" customWidth="1"/>
    <col min="784" max="784" width="12.1640625" customWidth="1"/>
    <col min="785" max="1024" width="11.1640625" customWidth="1"/>
    <col min="1025" max="1025" width="29.1640625" customWidth="1"/>
    <col min="1026" max="1026" width="17.6640625" customWidth="1"/>
    <col min="1027" max="1027" width="11.1640625" customWidth="1"/>
    <col min="1028" max="1028" width="13.6640625" customWidth="1"/>
    <col min="1029" max="1029" width="11" customWidth="1"/>
    <col min="1030" max="1030" width="16.6640625" customWidth="1"/>
    <col min="1031" max="1031" width="17.6640625" customWidth="1"/>
    <col min="1032" max="1032" width="32.5" customWidth="1"/>
    <col min="1033" max="1033" width="11.6640625" customWidth="1"/>
    <col min="1034" max="1034" width="27.6640625" customWidth="1"/>
    <col min="1035" max="1035" width="18.5" customWidth="1"/>
    <col min="1036" max="1039" width="11.1640625" customWidth="1"/>
    <col min="1040" max="1040" width="12.1640625" customWidth="1"/>
    <col min="1041" max="1280" width="11.1640625" customWidth="1"/>
    <col min="1281" max="1281" width="29.1640625" customWidth="1"/>
    <col min="1282" max="1282" width="17.6640625" customWidth="1"/>
    <col min="1283" max="1283" width="11.1640625" customWidth="1"/>
    <col min="1284" max="1284" width="13.6640625" customWidth="1"/>
    <col min="1285" max="1285" width="11" customWidth="1"/>
    <col min="1286" max="1286" width="16.6640625" customWidth="1"/>
    <col min="1287" max="1287" width="17.6640625" customWidth="1"/>
    <col min="1288" max="1288" width="32.5" customWidth="1"/>
    <col min="1289" max="1289" width="11.6640625" customWidth="1"/>
    <col min="1290" max="1290" width="27.6640625" customWidth="1"/>
    <col min="1291" max="1291" width="18.5" customWidth="1"/>
    <col min="1292" max="1295" width="11.1640625" customWidth="1"/>
    <col min="1296" max="1296" width="12.1640625" customWidth="1"/>
    <col min="1297" max="1536" width="11.1640625" customWidth="1"/>
    <col min="1537" max="1537" width="29.1640625" customWidth="1"/>
    <col min="1538" max="1538" width="17.6640625" customWidth="1"/>
    <col min="1539" max="1539" width="11.1640625" customWidth="1"/>
    <col min="1540" max="1540" width="13.6640625" customWidth="1"/>
    <col min="1541" max="1541" width="11" customWidth="1"/>
    <col min="1542" max="1542" width="16.6640625" customWidth="1"/>
    <col min="1543" max="1543" width="17.6640625" customWidth="1"/>
    <col min="1544" max="1544" width="32.5" customWidth="1"/>
    <col min="1545" max="1545" width="11.6640625" customWidth="1"/>
    <col min="1546" max="1546" width="27.6640625" customWidth="1"/>
    <col min="1547" max="1547" width="18.5" customWidth="1"/>
    <col min="1548" max="1551" width="11.1640625" customWidth="1"/>
    <col min="1552" max="1552" width="12.1640625" customWidth="1"/>
    <col min="1553" max="1792" width="11.1640625" customWidth="1"/>
    <col min="1793" max="1793" width="29.1640625" customWidth="1"/>
    <col min="1794" max="1794" width="17.6640625" customWidth="1"/>
    <col min="1795" max="1795" width="11.1640625" customWidth="1"/>
    <col min="1796" max="1796" width="13.6640625" customWidth="1"/>
    <col min="1797" max="1797" width="11" customWidth="1"/>
    <col min="1798" max="1798" width="16.6640625" customWidth="1"/>
    <col min="1799" max="1799" width="17.6640625" customWidth="1"/>
    <col min="1800" max="1800" width="32.5" customWidth="1"/>
    <col min="1801" max="1801" width="11.6640625" customWidth="1"/>
    <col min="1802" max="1802" width="27.6640625" customWidth="1"/>
    <col min="1803" max="1803" width="18.5" customWidth="1"/>
    <col min="1804" max="1807" width="11.1640625" customWidth="1"/>
    <col min="1808" max="1808" width="12.1640625" customWidth="1"/>
    <col min="1809" max="2048" width="11.1640625" customWidth="1"/>
    <col min="2049" max="2049" width="29.1640625" customWidth="1"/>
    <col min="2050" max="2050" width="17.6640625" customWidth="1"/>
    <col min="2051" max="2051" width="11.1640625" customWidth="1"/>
    <col min="2052" max="2052" width="13.6640625" customWidth="1"/>
    <col min="2053" max="2053" width="11" customWidth="1"/>
    <col min="2054" max="2054" width="16.6640625" customWidth="1"/>
    <col min="2055" max="2055" width="17.6640625" customWidth="1"/>
    <col min="2056" max="2056" width="32.5" customWidth="1"/>
    <col min="2057" max="2057" width="11.6640625" customWidth="1"/>
    <col min="2058" max="2058" width="27.6640625" customWidth="1"/>
    <col min="2059" max="2059" width="18.5" customWidth="1"/>
    <col min="2060" max="2063" width="11.1640625" customWidth="1"/>
    <col min="2064" max="2064" width="12.1640625" customWidth="1"/>
    <col min="2065" max="2304" width="11.1640625" customWidth="1"/>
    <col min="2305" max="2305" width="29.1640625" customWidth="1"/>
    <col min="2306" max="2306" width="17.6640625" customWidth="1"/>
    <col min="2307" max="2307" width="11.1640625" customWidth="1"/>
    <col min="2308" max="2308" width="13.6640625" customWidth="1"/>
    <col min="2309" max="2309" width="11" customWidth="1"/>
    <col min="2310" max="2310" width="16.6640625" customWidth="1"/>
    <col min="2311" max="2311" width="17.6640625" customWidth="1"/>
    <col min="2312" max="2312" width="32.5" customWidth="1"/>
    <col min="2313" max="2313" width="11.6640625" customWidth="1"/>
    <col min="2314" max="2314" width="27.6640625" customWidth="1"/>
    <col min="2315" max="2315" width="18.5" customWidth="1"/>
    <col min="2316" max="2319" width="11.1640625" customWidth="1"/>
    <col min="2320" max="2320" width="12.1640625" customWidth="1"/>
    <col min="2321" max="2560" width="11.1640625" customWidth="1"/>
    <col min="2561" max="2561" width="29.1640625" customWidth="1"/>
    <col min="2562" max="2562" width="17.6640625" customWidth="1"/>
    <col min="2563" max="2563" width="11.1640625" customWidth="1"/>
    <col min="2564" max="2564" width="13.6640625" customWidth="1"/>
    <col min="2565" max="2565" width="11" customWidth="1"/>
    <col min="2566" max="2566" width="16.6640625" customWidth="1"/>
    <col min="2567" max="2567" width="17.6640625" customWidth="1"/>
    <col min="2568" max="2568" width="32.5" customWidth="1"/>
    <col min="2569" max="2569" width="11.6640625" customWidth="1"/>
    <col min="2570" max="2570" width="27.6640625" customWidth="1"/>
    <col min="2571" max="2571" width="18.5" customWidth="1"/>
    <col min="2572" max="2575" width="11.1640625" customWidth="1"/>
    <col min="2576" max="2576" width="12.1640625" customWidth="1"/>
    <col min="2577" max="2816" width="11.1640625" customWidth="1"/>
    <col min="2817" max="2817" width="29.1640625" customWidth="1"/>
    <col min="2818" max="2818" width="17.6640625" customWidth="1"/>
    <col min="2819" max="2819" width="11.1640625" customWidth="1"/>
    <col min="2820" max="2820" width="13.6640625" customWidth="1"/>
    <col min="2821" max="2821" width="11" customWidth="1"/>
    <col min="2822" max="2822" width="16.6640625" customWidth="1"/>
    <col min="2823" max="2823" width="17.6640625" customWidth="1"/>
    <col min="2824" max="2824" width="32.5" customWidth="1"/>
    <col min="2825" max="2825" width="11.6640625" customWidth="1"/>
    <col min="2826" max="2826" width="27.6640625" customWidth="1"/>
    <col min="2827" max="2827" width="18.5" customWidth="1"/>
    <col min="2828" max="2831" width="11.1640625" customWidth="1"/>
    <col min="2832" max="2832" width="12.1640625" customWidth="1"/>
    <col min="2833" max="3072" width="11.1640625" customWidth="1"/>
    <col min="3073" max="3073" width="29.1640625" customWidth="1"/>
    <col min="3074" max="3074" width="17.6640625" customWidth="1"/>
    <col min="3075" max="3075" width="11.1640625" customWidth="1"/>
    <col min="3076" max="3076" width="13.6640625" customWidth="1"/>
    <col min="3077" max="3077" width="11" customWidth="1"/>
    <col min="3078" max="3078" width="16.6640625" customWidth="1"/>
    <col min="3079" max="3079" width="17.6640625" customWidth="1"/>
    <col min="3080" max="3080" width="32.5" customWidth="1"/>
    <col min="3081" max="3081" width="11.6640625" customWidth="1"/>
    <col min="3082" max="3082" width="27.6640625" customWidth="1"/>
    <col min="3083" max="3083" width="18.5" customWidth="1"/>
    <col min="3084" max="3087" width="11.1640625" customWidth="1"/>
    <col min="3088" max="3088" width="12.1640625" customWidth="1"/>
    <col min="3089" max="3328" width="11.1640625" customWidth="1"/>
    <col min="3329" max="3329" width="29.1640625" customWidth="1"/>
    <col min="3330" max="3330" width="17.6640625" customWidth="1"/>
    <col min="3331" max="3331" width="11.1640625" customWidth="1"/>
    <col min="3332" max="3332" width="13.6640625" customWidth="1"/>
    <col min="3333" max="3333" width="11" customWidth="1"/>
    <col min="3334" max="3334" width="16.6640625" customWidth="1"/>
    <col min="3335" max="3335" width="17.6640625" customWidth="1"/>
    <col min="3336" max="3336" width="32.5" customWidth="1"/>
    <col min="3337" max="3337" width="11.6640625" customWidth="1"/>
    <col min="3338" max="3338" width="27.6640625" customWidth="1"/>
    <col min="3339" max="3339" width="18.5" customWidth="1"/>
    <col min="3340" max="3343" width="11.1640625" customWidth="1"/>
    <col min="3344" max="3344" width="12.1640625" customWidth="1"/>
    <col min="3345" max="3584" width="11.1640625" customWidth="1"/>
    <col min="3585" max="3585" width="29.1640625" customWidth="1"/>
    <col min="3586" max="3586" width="17.6640625" customWidth="1"/>
    <col min="3587" max="3587" width="11.1640625" customWidth="1"/>
    <col min="3588" max="3588" width="13.6640625" customWidth="1"/>
    <col min="3589" max="3589" width="11" customWidth="1"/>
    <col min="3590" max="3590" width="16.6640625" customWidth="1"/>
    <col min="3591" max="3591" width="17.6640625" customWidth="1"/>
    <col min="3592" max="3592" width="32.5" customWidth="1"/>
    <col min="3593" max="3593" width="11.6640625" customWidth="1"/>
    <col min="3594" max="3594" width="27.6640625" customWidth="1"/>
    <col min="3595" max="3595" width="18.5" customWidth="1"/>
    <col min="3596" max="3599" width="11.1640625" customWidth="1"/>
    <col min="3600" max="3600" width="12.1640625" customWidth="1"/>
    <col min="3601" max="3840" width="11.1640625" customWidth="1"/>
    <col min="3841" max="3841" width="29.1640625" customWidth="1"/>
    <col min="3842" max="3842" width="17.6640625" customWidth="1"/>
    <col min="3843" max="3843" width="11.1640625" customWidth="1"/>
    <col min="3844" max="3844" width="13.6640625" customWidth="1"/>
    <col min="3845" max="3845" width="11" customWidth="1"/>
    <col min="3846" max="3846" width="16.6640625" customWidth="1"/>
    <col min="3847" max="3847" width="17.6640625" customWidth="1"/>
    <col min="3848" max="3848" width="32.5" customWidth="1"/>
    <col min="3849" max="3849" width="11.6640625" customWidth="1"/>
    <col min="3850" max="3850" width="27.6640625" customWidth="1"/>
    <col min="3851" max="3851" width="18.5" customWidth="1"/>
    <col min="3852" max="3855" width="11.1640625" customWidth="1"/>
    <col min="3856" max="3856" width="12.1640625" customWidth="1"/>
    <col min="3857" max="4096" width="11.1640625" customWidth="1"/>
    <col min="4097" max="4097" width="29.1640625" customWidth="1"/>
    <col min="4098" max="4098" width="17.6640625" customWidth="1"/>
    <col min="4099" max="4099" width="11.1640625" customWidth="1"/>
    <col min="4100" max="4100" width="13.6640625" customWidth="1"/>
    <col min="4101" max="4101" width="11" customWidth="1"/>
    <col min="4102" max="4102" width="16.6640625" customWidth="1"/>
    <col min="4103" max="4103" width="17.6640625" customWidth="1"/>
    <col min="4104" max="4104" width="32.5" customWidth="1"/>
    <col min="4105" max="4105" width="11.6640625" customWidth="1"/>
    <col min="4106" max="4106" width="27.6640625" customWidth="1"/>
    <col min="4107" max="4107" width="18.5" customWidth="1"/>
    <col min="4108" max="4111" width="11.1640625" customWidth="1"/>
    <col min="4112" max="4112" width="12.1640625" customWidth="1"/>
    <col min="4113" max="4352" width="11.1640625" customWidth="1"/>
    <col min="4353" max="4353" width="29.1640625" customWidth="1"/>
    <col min="4354" max="4354" width="17.6640625" customWidth="1"/>
    <col min="4355" max="4355" width="11.1640625" customWidth="1"/>
    <col min="4356" max="4356" width="13.6640625" customWidth="1"/>
    <col min="4357" max="4357" width="11" customWidth="1"/>
    <col min="4358" max="4358" width="16.6640625" customWidth="1"/>
    <col min="4359" max="4359" width="17.6640625" customWidth="1"/>
    <col min="4360" max="4360" width="32.5" customWidth="1"/>
    <col min="4361" max="4361" width="11.6640625" customWidth="1"/>
    <col min="4362" max="4362" width="27.6640625" customWidth="1"/>
    <col min="4363" max="4363" width="18.5" customWidth="1"/>
    <col min="4364" max="4367" width="11.1640625" customWidth="1"/>
    <col min="4368" max="4368" width="12.1640625" customWidth="1"/>
    <col min="4369" max="4608" width="11.1640625" customWidth="1"/>
    <col min="4609" max="4609" width="29.1640625" customWidth="1"/>
    <col min="4610" max="4610" width="17.6640625" customWidth="1"/>
    <col min="4611" max="4611" width="11.1640625" customWidth="1"/>
    <col min="4612" max="4612" width="13.6640625" customWidth="1"/>
    <col min="4613" max="4613" width="11" customWidth="1"/>
    <col min="4614" max="4614" width="16.6640625" customWidth="1"/>
    <col min="4615" max="4615" width="17.6640625" customWidth="1"/>
    <col min="4616" max="4616" width="32.5" customWidth="1"/>
    <col min="4617" max="4617" width="11.6640625" customWidth="1"/>
    <col min="4618" max="4618" width="27.6640625" customWidth="1"/>
    <col min="4619" max="4619" width="18.5" customWidth="1"/>
    <col min="4620" max="4623" width="11.1640625" customWidth="1"/>
    <col min="4624" max="4624" width="12.1640625" customWidth="1"/>
    <col min="4625" max="4864" width="11.1640625" customWidth="1"/>
    <col min="4865" max="4865" width="29.1640625" customWidth="1"/>
    <col min="4866" max="4866" width="17.6640625" customWidth="1"/>
    <col min="4867" max="4867" width="11.1640625" customWidth="1"/>
    <col min="4868" max="4868" width="13.6640625" customWidth="1"/>
    <col min="4869" max="4869" width="11" customWidth="1"/>
    <col min="4870" max="4870" width="16.6640625" customWidth="1"/>
    <col min="4871" max="4871" width="17.6640625" customWidth="1"/>
    <col min="4872" max="4872" width="32.5" customWidth="1"/>
    <col min="4873" max="4873" width="11.6640625" customWidth="1"/>
    <col min="4874" max="4874" width="27.6640625" customWidth="1"/>
    <col min="4875" max="4875" width="18.5" customWidth="1"/>
    <col min="4876" max="4879" width="11.1640625" customWidth="1"/>
    <col min="4880" max="4880" width="12.1640625" customWidth="1"/>
    <col min="4881" max="5120" width="11.1640625" customWidth="1"/>
    <col min="5121" max="5121" width="29.1640625" customWidth="1"/>
    <col min="5122" max="5122" width="17.6640625" customWidth="1"/>
    <col min="5123" max="5123" width="11.1640625" customWidth="1"/>
    <col min="5124" max="5124" width="13.6640625" customWidth="1"/>
    <col min="5125" max="5125" width="11" customWidth="1"/>
    <col min="5126" max="5126" width="16.6640625" customWidth="1"/>
    <col min="5127" max="5127" width="17.6640625" customWidth="1"/>
    <col min="5128" max="5128" width="32.5" customWidth="1"/>
    <col min="5129" max="5129" width="11.6640625" customWidth="1"/>
    <col min="5130" max="5130" width="27.6640625" customWidth="1"/>
    <col min="5131" max="5131" width="18.5" customWidth="1"/>
    <col min="5132" max="5135" width="11.1640625" customWidth="1"/>
    <col min="5136" max="5136" width="12.1640625" customWidth="1"/>
    <col min="5137" max="5376" width="11.1640625" customWidth="1"/>
    <col min="5377" max="5377" width="29.1640625" customWidth="1"/>
    <col min="5378" max="5378" width="17.6640625" customWidth="1"/>
    <col min="5379" max="5379" width="11.1640625" customWidth="1"/>
    <col min="5380" max="5380" width="13.6640625" customWidth="1"/>
    <col min="5381" max="5381" width="11" customWidth="1"/>
    <col min="5382" max="5382" width="16.6640625" customWidth="1"/>
    <col min="5383" max="5383" width="17.6640625" customWidth="1"/>
    <col min="5384" max="5384" width="32.5" customWidth="1"/>
    <col min="5385" max="5385" width="11.6640625" customWidth="1"/>
    <col min="5386" max="5386" width="27.6640625" customWidth="1"/>
    <col min="5387" max="5387" width="18.5" customWidth="1"/>
    <col min="5388" max="5391" width="11.1640625" customWidth="1"/>
    <col min="5392" max="5392" width="12.1640625" customWidth="1"/>
    <col min="5393" max="5632" width="11.1640625" customWidth="1"/>
    <col min="5633" max="5633" width="29.1640625" customWidth="1"/>
    <col min="5634" max="5634" width="17.6640625" customWidth="1"/>
    <col min="5635" max="5635" width="11.1640625" customWidth="1"/>
    <col min="5636" max="5636" width="13.6640625" customWidth="1"/>
    <col min="5637" max="5637" width="11" customWidth="1"/>
    <col min="5638" max="5638" width="16.6640625" customWidth="1"/>
    <col min="5639" max="5639" width="17.6640625" customWidth="1"/>
    <col min="5640" max="5640" width="32.5" customWidth="1"/>
    <col min="5641" max="5641" width="11.6640625" customWidth="1"/>
    <col min="5642" max="5642" width="27.6640625" customWidth="1"/>
    <col min="5643" max="5643" width="18.5" customWidth="1"/>
    <col min="5644" max="5647" width="11.1640625" customWidth="1"/>
    <col min="5648" max="5648" width="12.1640625" customWidth="1"/>
    <col min="5649" max="5888" width="11.1640625" customWidth="1"/>
    <col min="5889" max="5889" width="29.1640625" customWidth="1"/>
    <col min="5890" max="5890" width="17.6640625" customWidth="1"/>
    <col min="5891" max="5891" width="11.1640625" customWidth="1"/>
    <col min="5892" max="5892" width="13.6640625" customWidth="1"/>
    <col min="5893" max="5893" width="11" customWidth="1"/>
    <col min="5894" max="5894" width="16.6640625" customWidth="1"/>
    <col min="5895" max="5895" width="17.6640625" customWidth="1"/>
    <col min="5896" max="5896" width="32.5" customWidth="1"/>
    <col min="5897" max="5897" width="11.6640625" customWidth="1"/>
    <col min="5898" max="5898" width="27.6640625" customWidth="1"/>
    <col min="5899" max="5899" width="18.5" customWidth="1"/>
    <col min="5900" max="5903" width="11.1640625" customWidth="1"/>
    <col min="5904" max="5904" width="12.1640625" customWidth="1"/>
    <col min="5905" max="6144" width="11.1640625" customWidth="1"/>
    <col min="6145" max="6145" width="29.1640625" customWidth="1"/>
    <col min="6146" max="6146" width="17.6640625" customWidth="1"/>
    <col min="6147" max="6147" width="11.1640625" customWidth="1"/>
    <col min="6148" max="6148" width="13.6640625" customWidth="1"/>
    <col min="6149" max="6149" width="11" customWidth="1"/>
    <col min="6150" max="6150" width="16.6640625" customWidth="1"/>
    <col min="6151" max="6151" width="17.6640625" customWidth="1"/>
    <col min="6152" max="6152" width="32.5" customWidth="1"/>
    <col min="6153" max="6153" width="11.6640625" customWidth="1"/>
    <col min="6154" max="6154" width="27.6640625" customWidth="1"/>
    <col min="6155" max="6155" width="18.5" customWidth="1"/>
    <col min="6156" max="6159" width="11.1640625" customWidth="1"/>
    <col min="6160" max="6160" width="12.1640625" customWidth="1"/>
    <col min="6161" max="6400" width="11.1640625" customWidth="1"/>
    <col min="6401" max="6401" width="29.1640625" customWidth="1"/>
    <col min="6402" max="6402" width="17.6640625" customWidth="1"/>
    <col min="6403" max="6403" width="11.1640625" customWidth="1"/>
    <col min="6404" max="6404" width="13.6640625" customWidth="1"/>
    <col min="6405" max="6405" width="11" customWidth="1"/>
    <col min="6406" max="6406" width="16.6640625" customWidth="1"/>
    <col min="6407" max="6407" width="17.6640625" customWidth="1"/>
    <col min="6408" max="6408" width="32.5" customWidth="1"/>
    <col min="6409" max="6409" width="11.6640625" customWidth="1"/>
    <col min="6410" max="6410" width="27.6640625" customWidth="1"/>
    <col min="6411" max="6411" width="18.5" customWidth="1"/>
    <col min="6412" max="6415" width="11.1640625" customWidth="1"/>
    <col min="6416" max="6416" width="12.1640625" customWidth="1"/>
    <col min="6417" max="6656" width="11.1640625" customWidth="1"/>
    <col min="6657" max="6657" width="29.1640625" customWidth="1"/>
    <col min="6658" max="6658" width="17.6640625" customWidth="1"/>
    <col min="6659" max="6659" width="11.1640625" customWidth="1"/>
    <col min="6660" max="6660" width="13.6640625" customWidth="1"/>
    <col min="6661" max="6661" width="11" customWidth="1"/>
    <col min="6662" max="6662" width="16.6640625" customWidth="1"/>
    <col min="6663" max="6663" width="17.6640625" customWidth="1"/>
    <col min="6664" max="6664" width="32.5" customWidth="1"/>
    <col min="6665" max="6665" width="11.6640625" customWidth="1"/>
    <col min="6666" max="6666" width="27.6640625" customWidth="1"/>
    <col min="6667" max="6667" width="18.5" customWidth="1"/>
    <col min="6668" max="6671" width="11.1640625" customWidth="1"/>
    <col min="6672" max="6672" width="12.1640625" customWidth="1"/>
    <col min="6673" max="6912" width="11.1640625" customWidth="1"/>
    <col min="6913" max="6913" width="29.1640625" customWidth="1"/>
    <col min="6914" max="6914" width="17.6640625" customWidth="1"/>
    <col min="6915" max="6915" width="11.1640625" customWidth="1"/>
    <col min="6916" max="6916" width="13.6640625" customWidth="1"/>
    <col min="6917" max="6917" width="11" customWidth="1"/>
    <col min="6918" max="6918" width="16.6640625" customWidth="1"/>
    <col min="6919" max="6919" width="17.6640625" customWidth="1"/>
    <col min="6920" max="6920" width="32.5" customWidth="1"/>
    <col min="6921" max="6921" width="11.6640625" customWidth="1"/>
    <col min="6922" max="6922" width="27.6640625" customWidth="1"/>
    <col min="6923" max="6923" width="18.5" customWidth="1"/>
    <col min="6924" max="6927" width="11.1640625" customWidth="1"/>
    <col min="6928" max="6928" width="12.1640625" customWidth="1"/>
    <col min="6929" max="7168" width="11.1640625" customWidth="1"/>
    <col min="7169" max="7169" width="29.1640625" customWidth="1"/>
    <col min="7170" max="7170" width="17.6640625" customWidth="1"/>
    <col min="7171" max="7171" width="11.1640625" customWidth="1"/>
    <col min="7172" max="7172" width="13.6640625" customWidth="1"/>
    <col min="7173" max="7173" width="11" customWidth="1"/>
    <col min="7174" max="7174" width="16.6640625" customWidth="1"/>
    <col min="7175" max="7175" width="17.6640625" customWidth="1"/>
    <col min="7176" max="7176" width="32.5" customWidth="1"/>
    <col min="7177" max="7177" width="11.6640625" customWidth="1"/>
    <col min="7178" max="7178" width="27.6640625" customWidth="1"/>
    <col min="7179" max="7179" width="18.5" customWidth="1"/>
    <col min="7180" max="7183" width="11.1640625" customWidth="1"/>
    <col min="7184" max="7184" width="12.1640625" customWidth="1"/>
    <col min="7185" max="7424" width="11.1640625" customWidth="1"/>
    <col min="7425" max="7425" width="29.1640625" customWidth="1"/>
    <col min="7426" max="7426" width="17.6640625" customWidth="1"/>
    <col min="7427" max="7427" width="11.1640625" customWidth="1"/>
    <col min="7428" max="7428" width="13.6640625" customWidth="1"/>
    <col min="7429" max="7429" width="11" customWidth="1"/>
    <col min="7430" max="7430" width="16.6640625" customWidth="1"/>
    <col min="7431" max="7431" width="17.6640625" customWidth="1"/>
    <col min="7432" max="7432" width="32.5" customWidth="1"/>
    <col min="7433" max="7433" width="11.6640625" customWidth="1"/>
    <col min="7434" max="7434" width="27.6640625" customWidth="1"/>
    <col min="7435" max="7435" width="18.5" customWidth="1"/>
    <col min="7436" max="7439" width="11.1640625" customWidth="1"/>
    <col min="7440" max="7440" width="12.1640625" customWidth="1"/>
    <col min="7441" max="7680" width="11.1640625" customWidth="1"/>
    <col min="7681" max="7681" width="29.1640625" customWidth="1"/>
    <col min="7682" max="7682" width="17.6640625" customWidth="1"/>
    <col min="7683" max="7683" width="11.1640625" customWidth="1"/>
    <col min="7684" max="7684" width="13.6640625" customWidth="1"/>
    <col min="7685" max="7685" width="11" customWidth="1"/>
    <col min="7686" max="7686" width="16.6640625" customWidth="1"/>
    <col min="7687" max="7687" width="17.6640625" customWidth="1"/>
    <col min="7688" max="7688" width="32.5" customWidth="1"/>
    <col min="7689" max="7689" width="11.6640625" customWidth="1"/>
    <col min="7690" max="7690" width="27.6640625" customWidth="1"/>
    <col min="7691" max="7691" width="18.5" customWidth="1"/>
    <col min="7692" max="7695" width="11.1640625" customWidth="1"/>
    <col min="7696" max="7696" width="12.1640625" customWidth="1"/>
    <col min="7697" max="7936" width="11.1640625" customWidth="1"/>
    <col min="7937" max="7937" width="29.1640625" customWidth="1"/>
    <col min="7938" max="7938" width="17.6640625" customWidth="1"/>
    <col min="7939" max="7939" width="11.1640625" customWidth="1"/>
    <col min="7940" max="7940" width="13.6640625" customWidth="1"/>
    <col min="7941" max="7941" width="11" customWidth="1"/>
    <col min="7942" max="7942" width="16.6640625" customWidth="1"/>
    <col min="7943" max="7943" width="17.6640625" customWidth="1"/>
    <col min="7944" max="7944" width="32.5" customWidth="1"/>
    <col min="7945" max="7945" width="11.6640625" customWidth="1"/>
    <col min="7946" max="7946" width="27.6640625" customWidth="1"/>
    <col min="7947" max="7947" width="18.5" customWidth="1"/>
    <col min="7948" max="7951" width="11.1640625" customWidth="1"/>
    <col min="7952" max="7952" width="12.1640625" customWidth="1"/>
    <col min="7953" max="8192" width="11.1640625" customWidth="1"/>
    <col min="8193" max="8193" width="29.1640625" customWidth="1"/>
    <col min="8194" max="8194" width="17.6640625" customWidth="1"/>
    <col min="8195" max="8195" width="11.1640625" customWidth="1"/>
    <col min="8196" max="8196" width="13.6640625" customWidth="1"/>
    <col min="8197" max="8197" width="11" customWidth="1"/>
    <col min="8198" max="8198" width="16.6640625" customWidth="1"/>
    <col min="8199" max="8199" width="17.6640625" customWidth="1"/>
    <col min="8200" max="8200" width="32.5" customWidth="1"/>
    <col min="8201" max="8201" width="11.6640625" customWidth="1"/>
    <col min="8202" max="8202" width="27.6640625" customWidth="1"/>
    <col min="8203" max="8203" width="18.5" customWidth="1"/>
    <col min="8204" max="8207" width="11.1640625" customWidth="1"/>
    <col min="8208" max="8208" width="12.1640625" customWidth="1"/>
    <col min="8209" max="8448" width="11.1640625" customWidth="1"/>
    <col min="8449" max="8449" width="29.1640625" customWidth="1"/>
    <col min="8450" max="8450" width="17.6640625" customWidth="1"/>
    <col min="8451" max="8451" width="11.1640625" customWidth="1"/>
    <col min="8452" max="8452" width="13.6640625" customWidth="1"/>
    <col min="8453" max="8453" width="11" customWidth="1"/>
    <col min="8454" max="8454" width="16.6640625" customWidth="1"/>
    <col min="8455" max="8455" width="17.6640625" customWidth="1"/>
    <col min="8456" max="8456" width="32.5" customWidth="1"/>
    <col min="8457" max="8457" width="11.6640625" customWidth="1"/>
    <col min="8458" max="8458" width="27.6640625" customWidth="1"/>
    <col min="8459" max="8459" width="18.5" customWidth="1"/>
    <col min="8460" max="8463" width="11.1640625" customWidth="1"/>
    <col min="8464" max="8464" width="12.1640625" customWidth="1"/>
    <col min="8465" max="8704" width="11.1640625" customWidth="1"/>
    <col min="8705" max="8705" width="29.1640625" customWidth="1"/>
    <col min="8706" max="8706" width="17.6640625" customWidth="1"/>
    <col min="8707" max="8707" width="11.1640625" customWidth="1"/>
    <col min="8708" max="8708" width="13.6640625" customWidth="1"/>
    <col min="8709" max="8709" width="11" customWidth="1"/>
    <col min="8710" max="8710" width="16.6640625" customWidth="1"/>
    <col min="8711" max="8711" width="17.6640625" customWidth="1"/>
    <col min="8712" max="8712" width="32.5" customWidth="1"/>
    <col min="8713" max="8713" width="11.6640625" customWidth="1"/>
    <col min="8714" max="8714" width="27.6640625" customWidth="1"/>
    <col min="8715" max="8715" width="18.5" customWidth="1"/>
    <col min="8716" max="8719" width="11.1640625" customWidth="1"/>
    <col min="8720" max="8720" width="12.1640625" customWidth="1"/>
    <col min="8721" max="8960" width="11.1640625" customWidth="1"/>
    <col min="8961" max="8961" width="29.1640625" customWidth="1"/>
    <col min="8962" max="8962" width="17.6640625" customWidth="1"/>
    <col min="8963" max="8963" width="11.1640625" customWidth="1"/>
    <col min="8964" max="8964" width="13.6640625" customWidth="1"/>
    <col min="8965" max="8965" width="11" customWidth="1"/>
    <col min="8966" max="8966" width="16.6640625" customWidth="1"/>
    <col min="8967" max="8967" width="17.6640625" customWidth="1"/>
    <col min="8968" max="8968" width="32.5" customWidth="1"/>
    <col min="8969" max="8969" width="11.6640625" customWidth="1"/>
    <col min="8970" max="8970" width="27.6640625" customWidth="1"/>
    <col min="8971" max="8971" width="18.5" customWidth="1"/>
    <col min="8972" max="8975" width="11.1640625" customWidth="1"/>
    <col min="8976" max="8976" width="12.1640625" customWidth="1"/>
    <col min="8977" max="9216" width="11.1640625" customWidth="1"/>
    <col min="9217" max="9217" width="29.1640625" customWidth="1"/>
    <col min="9218" max="9218" width="17.6640625" customWidth="1"/>
    <col min="9219" max="9219" width="11.1640625" customWidth="1"/>
    <col min="9220" max="9220" width="13.6640625" customWidth="1"/>
    <col min="9221" max="9221" width="11" customWidth="1"/>
    <col min="9222" max="9222" width="16.6640625" customWidth="1"/>
    <col min="9223" max="9223" width="17.6640625" customWidth="1"/>
    <col min="9224" max="9224" width="32.5" customWidth="1"/>
    <col min="9225" max="9225" width="11.6640625" customWidth="1"/>
    <col min="9226" max="9226" width="27.6640625" customWidth="1"/>
    <col min="9227" max="9227" width="18.5" customWidth="1"/>
    <col min="9228" max="9231" width="11.1640625" customWidth="1"/>
    <col min="9232" max="9232" width="12.1640625" customWidth="1"/>
    <col min="9233" max="9472" width="11.1640625" customWidth="1"/>
    <col min="9473" max="9473" width="29.1640625" customWidth="1"/>
    <col min="9474" max="9474" width="17.6640625" customWidth="1"/>
    <col min="9475" max="9475" width="11.1640625" customWidth="1"/>
    <col min="9476" max="9476" width="13.6640625" customWidth="1"/>
    <col min="9477" max="9477" width="11" customWidth="1"/>
    <col min="9478" max="9478" width="16.6640625" customWidth="1"/>
    <col min="9479" max="9479" width="17.6640625" customWidth="1"/>
    <col min="9480" max="9480" width="32.5" customWidth="1"/>
    <col min="9481" max="9481" width="11.6640625" customWidth="1"/>
    <col min="9482" max="9482" width="27.6640625" customWidth="1"/>
    <col min="9483" max="9483" width="18.5" customWidth="1"/>
    <col min="9484" max="9487" width="11.1640625" customWidth="1"/>
    <col min="9488" max="9488" width="12.1640625" customWidth="1"/>
    <col min="9489" max="9728" width="11.1640625" customWidth="1"/>
    <col min="9729" max="9729" width="29.1640625" customWidth="1"/>
    <col min="9730" max="9730" width="17.6640625" customWidth="1"/>
    <col min="9731" max="9731" width="11.1640625" customWidth="1"/>
    <col min="9732" max="9732" width="13.6640625" customWidth="1"/>
    <col min="9733" max="9733" width="11" customWidth="1"/>
    <col min="9734" max="9734" width="16.6640625" customWidth="1"/>
    <col min="9735" max="9735" width="17.6640625" customWidth="1"/>
    <col min="9736" max="9736" width="32.5" customWidth="1"/>
    <col min="9737" max="9737" width="11.6640625" customWidth="1"/>
    <col min="9738" max="9738" width="27.6640625" customWidth="1"/>
    <col min="9739" max="9739" width="18.5" customWidth="1"/>
    <col min="9740" max="9743" width="11.1640625" customWidth="1"/>
    <col min="9744" max="9744" width="12.1640625" customWidth="1"/>
    <col min="9745" max="9984" width="11.1640625" customWidth="1"/>
    <col min="9985" max="9985" width="29.1640625" customWidth="1"/>
    <col min="9986" max="9986" width="17.6640625" customWidth="1"/>
    <col min="9987" max="9987" width="11.1640625" customWidth="1"/>
    <col min="9988" max="9988" width="13.6640625" customWidth="1"/>
    <col min="9989" max="9989" width="11" customWidth="1"/>
    <col min="9990" max="9990" width="16.6640625" customWidth="1"/>
    <col min="9991" max="9991" width="17.6640625" customWidth="1"/>
    <col min="9992" max="9992" width="32.5" customWidth="1"/>
    <col min="9993" max="9993" width="11.6640625" customWidth="1"/>
    <col min="9994" max="9994" width="27.6640625" customWidth="1"/>
    <col min="9995" max="9995" width="18.5" customWidth="1"/>
    <col min="9996" max="9999" width="11.1640625" customWidth="1"/>
    <col min="10000" max="10000" width="12.1640625" customWidth="1"/>
    <col min="10001" max="10240" width="11.1640625" customWidth="1"/>
    <col min="10241" max="10241" width="29.1640625" customWidth="1"/>
    <col min="10242" max="10242" width="17.6640625" customWidth="1"/>
    <col min="10243" max="10243" width="11.1640625" customWidth="1"/>
    <col min="10244" max="10244" width="13.6640625" customWidth="1"/>
    <col min="10245" max="10245" width="11" customWidth="1"/>
    <col min="10246" max="10246" width="16.6640625" customWidth="1"/>
    <col min="10247" max="10247" width="17.6640625" customWidth="1"/>
    <col min="10248" max="10248" width="32.5" customWidth="1"/>
    <col min="10249" max="10249" width="11.6640625" customWidth="1"/>
    <col min="10250" max="10250" width="27.6640625" customWidth="1"/>
    <col min="10251" max="10251" width="18.5" customWidth="1"/>
    <col min="10252" max="10255" width="11.1640625" customWidth="1"/>
    <col min="10256" max="10256" width="12.1640625" customWidth="1"/>
    <col min="10257" max="10496" width="11.1640625" customWidth="1"/>
    <col min="10497" max="10497" width="29.1640625" customWidth="1"/>
    <col min="10498" max="10498" width="17.6640625" customWidth="1"/>
    <col min="10499" max="10499" width="11.1640625" customWidth="1"/>
    <col min="10500" max="10500" width="13.6640625" customWidth="1"/>
    <col min="10501" max="10501" width="11" customWidth="1"/>
    <col min="10502" max="10502" width="16.6640625" customWidth="1"/>
    <col min="10503" max="10503" width="17.6640625" customWidth="1"/>
    <col min="10504" max="10504" width="32.5" customWidth="1"/>
    <col min="10505" max="10505" width="11.6640625" customWidth="1"/>
    <col min="10506" max="10506" width="27.6640625" customWidth="1"/>
    <col min="10507" max="10507" width="18.5" customWidth="1"/>
    <col min="10508" max="10511" width="11.1640625" customWidth="1"/>
    <col min="10512" max="10512" width="12.1640625" customWidth="1"/>
    <col min="10513" max="10752" width="11.1640625" customWidth="1"/>
    <col min="10753" max="10753" width="29.1640625" customWidth="1"/>
    <col min="10754" max="10754" width="17.6640625" customWidth="1"/>
    <col min="10755" max="10755" width="11.1640625" customWidth="1"/>
    <col min="10756" max="10756" width="13.6640625" customWidth="1"/>
    <col min="10757" max="10757" width="11" customWidth="1"/>
    <col min="10758" max="10758" width="16.6640625" customWidth="1"/>
    <col min="10759" max="10759" width="17.6640625" customWidth="1"/>
    <col min="10760" max="10760" width="32.5" customWidth="1"/>
    <col min="10761" max="10761" width="11.6640625" customWidth="1"/>
    <col min="10762" max="10762" width="27.6640625" customWidth="1"/>
    <col min="10763" max="10763" width="18.5" customWidth="1"/>
    <col min="10764" max="10767" width="11.1640625" customWidth="1"/>
    <col min="10768" max="10768" width="12.1640625" customWidth="1"/>
    <col min="10769" max="11008" width="11.1640625" customWidth="1"/>
    <col min="11009" max="11009" width="29.1640625" customWidth="1"/>
    <col min="11010" max="11010" width="17.6640625" customWidth="1"/>
    <col min="11011" max="11011" width="11.1640625" customWidth="1"/>
    <col min="11012" max="11012" width="13.6640625" customWidth="1"/>
    <col min="11013" max="11013" width="11" customWidth="1"/>
    <col min="11014" max="11014" width="16.6640625" customWidth="1"/>
    <col min="11015" max="11015" width="17.6640625" customWidth="1"/>
    <col min="11016" max="11016" width="32.5" customWidth="1"/>
    <col min="11017" max="11017" width="11.6640625" customWidth="1"/>
    <col min="11018" max="11018" width="27.6640625" customWidth="1"/>
    <col min="11019" max="11019" width="18.5" customWidth="1"/>
    <col min="11020" max="11023" width="11.1640625" customWidth="1"/>
    <col min="11024" max="11024" width="12.1640625" customWidth="1"/>
    <col min="11025" max="11264" width="11.1640625" customWidth="1"/>
    <col min="11265" max="11265" width="29.1640625" customWidth="1"/>
    <col min="11266" max="11266" width="17.6640625" customWidth="1"/>
    <col min="11267" max="11267" width="11.1640625" customWidth="1"/>
    <col min="11268" max="11268" width="13.6640625" customWidth="1"/>
    <col min="11269" max="11269" width="11" customWidth="1"/>
    <col min="11270" max="11270" width="16.6640625" customWidth="1"/>
    <col min="11271" max="11271" width="17.6640625" customWidth="1"/>
    <col min="11272" max="11272" width="32.5" customWidth="1"/>
    <col min="11273" max="11273" width="11.6640625" customWidth="1"/>
    <col min="11274" max="11274" width="27.6640625" customWidth="1"/>
    <col min="11275" max="11275" width="18.5" customWidth="1"/>
    <col min="11276" max="11279" width="11.1640625" customWidth="1"/>
    <col min="11280" max="11280" width="12.1640625" customWidth="1"/>
    <col min="11281" max="11520" width="11.1640625" customWidth="1"/>
    <col min="11521" max="11521" width="29.1640625" customWidth="1"/>
    <col min="11522" max="11522" width="17.6640625" customWidth="1"/>
    <col min="11523" max="11523" width="11.1640625" customWidth="1"/>
    <col min="11524" max="11524" width="13.6640625" customWidth="1"/>
    <col min="11525" max="11525" width="11" customWidth="1"/>
    <col min="11526" max="11526" width="16.6640625" customWidth="1"/>
    <col min="11527" max="11527" width="17.6640625" customWidth="1"/>
    <col min="11528" max="11528" width="32.5" customWidth="1"/>
    <col min="11529" max="11529" width="11.6640625" customWidth="1"/>
    <col min="11530" max="11530" width="27.6640625" customWidth="1"/>
    <col min="11531" max="11531" width="18.5" customWidth="1"/>
    <col min="11532" max="11535" width="11.1640625" customWidth="1"/>
    <col min="11536" max="11536" width="12.1640625" customWidth="1"/>
    <col min="11537" max="11776" width="11.1640625" customWidth="1"/>
    <col min="11777" max="11777" width="29.1640625" customWidth="1"/>
    <col min="11778" max="11778" width="17.6640625" customWidth="1"/>
    <col min="11779" max="11779" width="11.1640625" customWidth="1"/>
    <col min="11780" max="11780" width="13.6640625" customWidth="1"/>
    <col min="11781" max="11781" width="11" customWidth="1"/>
    <col min="11782" max="11782" width="16.6640625" customWidth="1"/>
    <col min="11783" max="11783" width="17.6640625" customWidth="1"/>
    <col min="11784" max="11784" width="32.5" customWidth="1"/>
    <col min="11785" max="11785" width="11.6640625" customWidth="1"/>
    <col min="11786" max="11786" width="27.6640625" customWidth="1"/>
    <col min="11787" max="11787" width="18.5" customWidth="1"/>
    <col min="11788" max="11791" width="11.1640625" customWidth="1"/>
    <col min="11792" max="11792" width="12.1640625" customWidth="1"/>
    <col min="11793" max="12032" width="11.1640625" customWidth="1"/>
    <col min="12033" max="12033" width="29.1640625" customWidth="1"/>
    <col min="12034" max="12034" width="17.6640625" customWidth="1"/>
    <col min="12035" max="12035" width="11.1640625" customWidth="1"/>
    <col min="12036" max="12036" width="13.6640625" customWidth="1"/>
    <col min="12037" max="12037" width="11" customWidth="1"/>
    <col min="12038" max="12038" width="16.6640625" customWidth="1"/>
    <col min="12039" max="12039" width="17.6640625" customWidth="1"/>
    <col min="12040" max="12040" width="32.5" customWidth="1"/>
    <col min="12041" max="12041" width="11.6640625" customWidth="1"/>
    <col min="12042" max="12042" width="27.6640625" customWidth="1"/>
    <col min="12043" max="12043" width="18.5" customWidth="1"/>
    <col min="12044" max="12047" width="11.1640625" customWidth="1"/>
    <col min="12048" max="12048" width="12.1640625" customWidth="1"/>
    <col min="12049" max="12288" width="11.1640625" customWidth="1"/>
    <col min="12289" max="12289" width="29.1640625" customWidth="1"/>
    <col min="12290" max="12290" width="17.6640625" customWidth="1"/>
    <col min="12291" max="12291" width="11.1640625" customWidth="1"/>
    <col min="12292" max="12292" width="13.6640625" customWidth="1"/>
    <col min="12293" max="12293" width="11" customWidth="1"/>
    <col min="12294" max="12294" width="16.6640625" customWidth="1"/>
    <col min="12295" max="12295" width="17.6640625" customWidth="1"/>
    <col min="12296" max="12296" width="32.5" customWidth="1"/>
    <col min="12297" max="12297" width="11.6640625" customWidth="1"/>
    <col min="12298" max="12298" width="27.6640625" customWidth="1"/>
    <col min="12299" max="12299" width="18.5" customWidth="1"/>
    <col min="12300" max="12303" width="11.1640625" customWidth="1"/>
    <col min="12304" max="12304" width="12.1640625" customWidth="1"/>
    <col min="12305" max="12544" width="11.1640625" customWidth="1"/>
    <col min="12545" max="12545" width="29.1640625" customWidth="1"/>
    <col min="12546" max="12546" width="17.6640625" customWidth="1"/>
    <col min="12547" max="12547" width="11.1640625" customWidth="1"/>
    <col min="12548" max="12548" width="13.6640625" customWidth="1"/>
    <col min="12549" max="12549" width="11" customWidth="1"/>
    <col min="12550" max="12550" width="16.6640625" customWidth="1"/>
    <col min="12551" max="12551" width="17.6640625" customWidth="1"/>
    <col min="12552" max="12552" width="32.5" customWidth="1"/>
    <col min="12553" max="12553" width="11.6640625" customWidth="1"/>
    <col min="12554" max="12554" width="27.6640625" customWidth="1"/>
    <col min="12555" max="12555" width="18.5" customWidth="1"/>
    <col min="12556" max="12559" width="11.1640625" customWidth="1"/>
    <col min="12560" max="12560" width="12.1640625" customWidth="1"/>
    <col min="12561" max="12800" width="11.1640625" customWidth="1"/>
    <col min="12801" max="12801" width="29.1640625" customWidth="1"/>
    <col min="12802" max="12802" width="17.6640625" customWidth="1"/>
    <col min="12803" max="12803" width="11.1640625" customWidth="1"/>
    <col min="12804" max="12804" width="13.6640625" customWidth="1"/>
    <col min="12805" max="12805" width="11" customWidth="1"/>
    <col min="12806" max="12806" width="16.6640625" customWidth="1"/>
    <col min="12807" max="12807" width="17.6640625" customWidth="1"/>
    <col min="12808" max="12808" width="32.5" customWidth="1"/>
    <col min="12809" max="12809" width="11.6640625" customWidth="1"/>
    <col min="12810" max="12810" width="27.6640625" customWidth="1"/>
    <col min="12811" max="12811" width="18.5" customWidth="1"/>
    <col min="12812" max="12815" width="11.1640625" customWidth="1"/>
    <col min="12816" max="12816" width="12.1640625" customWidth="1"/>
    <col min="12817" max="13056" width="11.1640625" customWidth="1"/>
    <col min="13057" max="13057" width="29.1640625" customWidth="1"/>
    <col min="13058" max="13058" width="17.6640625" customWidth="1"/>
    <col min="13059" max="13059" width="11.1640625" customWidth="1"/>
    <col min="13060" max="13060" width="13.6640625" customWidth="1"/>
    <col min="13061" max="13061" width="11" customWidth="1"/>
    <col min="13062" max="13062" width="16.6640625" customWidth="1"/>
    <col min="13063" max="13063" width="17.6640625" customWidth="1"/>
    <col min="13064" max="13064" width="32.5" customWidth="1"/>
    <col min="13065" max="13065" width="11.6640625" customWidth="1"/>
    <col min="13066" max="13066" width="27.6640625" customWidth="1"/>
    <col min="13067" max="13067" width="18.5" customWidth="1"/>
    <col min="13068" max="13071" width="11.1640625" customWidth="1"/>
    <col min="13072" max="13072" width="12.1640625" customWidth="1"/>
    <col min="13073" max="13312" width="11.1640625" customWidth="1"/>
    <col min="13313" max="13313" width="29.1640625" customWidth="1"/>
    <col min="13314" max="13314" width="17.6640625" customWidth="1"/>
    <col min="13315" max="13315" width="11.1640625" customWidth="1"/>
    <col min="13316" max="13316" width="13.6640625" customWidth="1"/>
    <col min="13317" max="13317" width="11" customWidth="1"/>
    <col min="13318" max="13318" width="16.6640625" customWidth="1"/>
    <col min="13319" max="13319" width="17.6640625" customWidth="1"/>
    <col min="13320" max="13320" width="32.5" customWidth="1"/>
    <col min="13321" max="13321" width="11.6640625" customWidth="1"/>
    <col min="13322" max="13322" width="27.6640625" customWidth="1"/>
    <col min="13323" max="13323" width="18.5" customWidth="1"/>
    <col min="13324" max="13327" width="11.1640625" customWidth="1"/>
    <col min="13328" max="13328" width="12.1640625" customWidth="1"/>
    <col min="13329" max="13568" width="11.1640625" customWidth="1"/>
    <col min="13569" max="13569" width="29.1640625" customWidth="1"/>
    <col min="13570" max="13570" width="17.6640625" customWidth="1"/>
    <col min="13571" max="13571" width="11.1640625" customWidth="1"/>
    <col min="13572" max="13572" width="13.6640625" customWidth="1"/>
    <col min="13573" max="13573" width="11" customWidth="1"/>
    <col min="13574" max="13574" width="16.6640625" customWidth="1"/>
    <col min="13575" max="13575" width="17.6640625" customWidth="1"/>
    <col min="13576" max="13576" width="32.5" customWidth="1"/>
    <col min="13577" max="13577" width="11.6640625" customWidth="1"/>
    <col min="13578" max="13578" width="27.6640625" customWidth="1"/>
    <col min="13579" max="13579" width="18.5" customWidth="1"/>
    <col min="13580" max="13583" width="11.1640625" customWidth="1"/>
    <col min="13584" max="13584" width="12.1640625" customWidth="1"/>
    <col min="13585" max="13824" width="11.1640625" customWidth="1"/>
    <col min="13825" max="13825" width="29.1640625" customWidth="1"/>
    <col min="13826" max="13826" width="17.6640625" customWidth="1"/>
    <col min="13827" max="13827" width="11.1640625" customWidth="1"/>
    <col min="13828" max="13828" width="13.6640625" customWidth="1"/>
    <col min="13829" max="13829" width="11" customWidth="1"/>
    <col min="13830" max="13830" width="16.6640625" customWidth="1"/>
    <col min="13831" max="13831" width="17.6640625" customWidth="1"/>
    <col min="13832" max="13832" width="32.5" customWidth="1"/>
    <col min="13833" max="13833" width="11.6640625" customWidth="1"/>
    <col min="13834" max="13834" width="27.6640625" customWidth="1"/>
    <col min="13835" max="13835" width="18.5" customWidth="1"/>
    <col min="13836" max="13839" width="11.1640625" customWidth="1"/>
    <col min="13840" max="13840" width="12.1640625" customWidth="1"/>
    <col min="13841" max="14080" width="11.1640625" customWidth="1"/>
    <col min="14081" max="14081" width="29.1640625" customWidth="1"/>
    <col min="14082" max="14082" width="17.6640625" customWidth="1"/>
    <col min="14083" max="14083" width="11.1640625" customWidth="1"/>
    <col min="14084" max="14084" width="13.6640625" customWidth="1"/>
    <col min="14085" max="14085" width="11" customWidth="1"/>
    <col min="14086" max="14086" width="16.6640625" customWidth="1"/>
    <col min="14087" max="14087" width="17.6640625" customWidth="1"/>
    <col min="14088" max="14088" width="32.5" customWidth="1"/>
    <col min="14089" max="14089" width="11.6640625" customWidth="1"/>
    <col min="14090" max="14090" width="27.6640625" customWidth="1"/>
    <col min="14091" max="14091" width="18.5" customWidth="1"/>
    <col min="14092" max="14095" width="11.1640625" customWidth="1"/>
    <col min="14096" max="14096" width="12.1640625" customWidth="1"/>
    <col min="14097" max="14336" width="11.1640625" customWidth="1"/>
    <col min="14337" max="14337" width="29.1640625" customWidth="1"/>
    <col min="14338" max="14338" width="17.6640625" customWidth="1"/>
    <col min="14339" max="14339" width="11.1640625" customWidth="1"/>
    <col min="14340" max="14340" width="13.6640625" customWidth="1"/>
    <col min="14341" max="14341" width="11" customWidth="1"/>
    <col min="14342" max="14342" width="16.6640625" customWidth="1"/>
    <col min="14343" max="14343" width="17.6640625" customWidth="1"/>
    <col min="14344" max="14344" width="32.5" customWidth="1"/>
    <col min="14345" max="14345" width="11.6640625" customWidth="1"/>
    <col min="14346" max="14346" width="27.6640625" customWidth="1"/>
    <col min="14347" max="14347" width="18.5" customWidth="1"/>
    <col min="14348" max="14351" width="11.1640625" customWidth="1"/>
    <col min="14352" max="14352" width="12.1640625" customWidth="1"/>
    <col min="14353" max="14592" width="11.1640625" customWidth="1"/>
    <col min="14593" max="14593" width="29.1640625" customWidth="1"/>
    <col min="14594" max="14594" width="17.6640625" customWidth="1"/>
    <col min="14595" max="14595" width="11.1640625" customWidth="1"/>
    <col min="14596" max="14596" width="13.6640625" customWidth="1"/>
    <col min="14597" max="14597" width="11" customWidth="1"/>
    <col min="14598" max="14598" width="16.6640625" customWidth="1"/>
    <col min="14599" max="14599" width="17.6640625" customWidth="1"/>
    <col min="14600" max="14600" width="32.5" customWidth="1"/>
    <col min="14601" max="14601" width="11.6640625" customWidth="1"/>
    <col min="14602" max="14602" width="27.6640625" customWidth="1"/>
    <col min="14603" max="14603" width="18.5" customWidth="1"/>
    <col min="14604" max="14607" width="11.1640625" customWidth="1"/>
    <col min="14608" max="14608" width="12.1640625" customWidth="1"/>
    <col min="14609" max="14848" width="11.1640625" customWidth="1"/>
    <col min="14849" max="14849" width="29.1640625" customWidth="1"/>
    <col min="14850" max="14850" width="17.6640625" customWidth="1"/>
    <col min="14851" max="14851" width="11.1640625" customWidth="1"/>
    <col min="14852" max="14852" width="13.6640625" customWidth="1"/>
    <col min="14853" max="14853" width="11" customWidth="1"/>
    <col min="14854" max="14854" width="16.6640625" customWidth="1"/>
    <col min="14855" max="14855" width="17.6640625" customWidth="1"/>
    <col min="14856" max="14856" width="32.5" customWidth="1"/>
    <col min="14857" max="14857" width="11.6640625" customWidth="1"/>
    <col min="14858" max="14858" width="27.6640625" customWidth="1"/>
    <col min="14859" max="14859" width="18.5" customWidth="1"/>
    <col min="14860" max="14863" width="11.1640625" customWidth="1"/>
    <col min="14864" max="14864" width="12.1640625" customWidth="1"/>
    <col min="14865" max="15104" width="11.1640625" customWidth="1"/>
    <col min="15105" max="15105" width="29.1640625" customWidth="1"/>
    <col min="15106" max="15106" width="17.6640625" customWidth="1"/>
    <col min="15107" max="15107" width="11.1640625" customWidth="1"/>
    <col min="15108" max="15108" width="13.6640625" customWidth="1"/>
    <col min="15109" max="15109" width="11" customWidth="1"/>
    <col min="15110" max="15110" width="16.6640625" customWidth="1"/>
    <col min="15111" max="15111" width="17.6640625" customWidth="1"/>
    <col min="15112" max="15112" width="32.5" customWidth="1"/>
    <col min="15113" max="15113" width="11.6640625" customWidth="1"/>
    <col min="15114" max="15114" width="27.6640625" customWidth="1"/>
    <col min="15115" max="15115" width="18.5" customWidth="1"/>
    <col min="15116" max="15119" width="11.1640625" customWidth="1"/>
    <col min="15120" max="15120" width="12.1640625" customWidth="1"/>
    <col min="15121" max="15360" width="11.1640625" customWidth="1"/>
    <col min="15361" max="15361" width="29.1640625" customWidth="1"/>
    <col min="15362" max="15362" width="17.6640625" customWidth="1"/>
    <col min="15363" max="15363" width="11.1640625" customWidth="1"/>
    <col min="15364" max="15364" width="13.6640625" customWidth="1"/>
    <col min="15365" max="15365" width="11" customWidth="1"/>
    <col min="15366" max="15366" width="16.6640625" customWidth="1"/>
    <col min="15367" max="15367" width="17.6640625" customWidth="1"/>
    <col min="15368" max="15368" width="32.5" customWidth="1"/>
    <col min="15369" max="15369" width="11.6640625" customWidth="1"/>
    <col min="15370" max="15370" width="27.6640625" customWidth="1"/>
    <col min="15371" max="15371" width="18.5" customWidth="1"/>
    <col min="15372" max="15375" width="11.1640625" customWidth="1"/>
    <col min="15376" max="15376" width="12.1640625" customWidth="1"/>
    <col min="15377" max="15616" width="11.1640625" customWidth="1"/>
    <col min="15617" max="15617" width="29.1640625" customWidth="1"/>
    <col min="15618" max="15618" width="17.6640625" customWidth="1"/>
    <col min="15619" max="15619" width="11.1640625" customWidth="1"/>
    <col min="15620" max="15620" width="13.6640625" customWidth="1"/>
    <col min="15621" max="15621" width="11" customWidth="1"/>
    <col min="15622" max="15622" width="16.6640625" customWidth="1"/>
    <col min="15623" max="15623" width="17.6640625" customWidth="1"/>
    <col min="15624" max="15624" width="32.5" customWidth="1"/>
    <col min="15625" max="15625" width="11.6640625" customWidth="1"/>
    <col min="15626" max="15626" width="27.6640625" customWidth="1"/>
    <col min="15627" max="15627" width="18.5" customWidth="1"/>
    <col min="15628" max="15631" width="11.1640625" customWidth="1"/>
    <col min="15632" max="15632" width="12.1640625" customWidth="1"/>
    <col min="15633" max="15872" width="11.1640625" customWidth="1"/>
    <col min="15873" max="15873" width="29.1640625" customWidth="1"/>
    <col min="15874" max="15874" width="17.6640625" customWidth="1"/>
    <col min="15875" max="15875" width="11.1640625" customWidth="1"/>
    <col min="15876" max="15876" width="13.6640625" customWidth="1"/>
    <col min="15877" max="15877" width="11" customWidth="1"/>
    <col min="15878" max="15878" width="16.6640625" customWidth="1"/>
    <col min="15879" max="15879" width="17.6640625" customWidth="1"/>
    <col min="15880" max="15880" width="32.5" customWidth="1"/>
    <col min="15881" max="15881" width="11.6640625" customWidth="1"/>
    <col min="15882" max="15882" width="27.6640625" customWidth="1"/>
    <col min="15883" max="15883" width="18.5" customWidth="1"/>
    <col min="15884" max="15887" width="11.1640625" customWidth="1"/>
    <col min="15888" max="15888" width="12.1640625" customWidth="1"/>
    <col min="15889" max="16128" width="11.1640625" customWidth="1"/>
    <col min="16129" max="16129" width="29.1640625" customWidth="1"/>
    <col min="16130" max="16130" width="17.6640625" customWidth="1"/>
    <col min="16131" max="16131" width="11.1640625" customWidth="1"/>
    <col min="16132" max="16132" width="13.6640625" customWidth="1"/>
    <col min="16133" max="16133" width="11" customWidth="1"/>
    <col min="16134" max="16134" width="16.6640625" customWidth="1"/>
    <col min="16135" max="16135" width="17.6640625" customWidth="1"/>
    <col min="16136" max="16136" width="32.5" customWidth="1"/>
    <col min="16137" max="16137" width="11.6640625" customWidth="1"/>
    <col min="16138" max="16138" width="27.6640625" customWidth="1"/>
    <col min="16139" max="16139" width="18.5" customWidth="1"/>
    <col min="16140" max="16143" width="11.1640625" customWidth="1"/>
    <col min="16144" max="16144" width="12.1640625" customWidth="1"/>
    <col min="16145" max="16384" width="11.1640625" customWidth="1"/>
  </cols>
  <sheetData>
    <row r="1" spans="1:16" ht="16">
      <c r="A1" s="94" t="s">
        <v>228</v>
      </c>
      <c r="B1" s="154">
        <v>45296</v>
      </c>
      <c r="C1" s="155"/>
      <c r="D1" s="155"/>
      <c r="E1" s="155"/>
      <c r="F1" s="155"/>
      <c r="G1" s="155"/>
      <c r="H1" s="156" t="s">
        <v>229</v>
      </c>
      <c r="I1" s="159" t="s">
        <v>230</v>
      </c>
      <c r="J1" s="160"/>
      <c r="K1" s="161"/>
    </row>
    <row r="2" spans="1:16" ht="16">
      <c r="A2" s="96" t="s">
        <v>231</v>
      </c>
      <c r="B2" s="162" t="s">
        <v>232</v>
      </c>
      <c r="C2" s="163"/>
      <c r="D2" s="163"/>
      <c r="E2" s="163"/>
      <c r="F2" s="163"/>
      <c r="G2" s="163"/>
      <c r="H2" s="157"/>
      <c r="I2" s="164" t="s">
        <v>677</v>
      </c>
      <c r="J2" s="165"/>
      <c r="K2" s="166"/>
    </row>
    <row r="3" spans="1:16" ht="16">
      <c r="A3" s="96" t="s">
        <v>234</v>
      </c>
      <c r="B3" s="170" t="s">
        <v>678</v>
      </c>
      <c r="C3" s="171"/>
      <c r="D3" s="171"/>
      <c r="E3" s="172"/>
      <c r="F3" s="170" t="s">
        <v>235</v>
      </c>
      <c r="G3" s="171"/>
      <c r="H3" s="157"/>
      <c r="I3" s="164"/>
      <c r="J3" s="165"/>
      <c r="K3" s="166"/>
    </row>
    <row r="4" spans="1:16" ht="16">
      <c r="A4" s="96" t="s">
        <v>236</v>
      </c>
      <c r="B4" s="173" t="s">
        <v>237</v>
      </c>
      <c r="C4" s="174"/>
      <c r="D4" s="174"/>
      <c r="E4" s="174"/>
      <c r="F4" s="174"/>
      <c r="G4" s="174"/>
      <c r="H4" s="157"/>
      <c r="I4" s="164"/>
      <c r="J4" s="165"/>
      <c r="K4" s="166"/>
    </row>
    <row r="5" spans="1:16" ht="16">
      <c r="A5" s="96" t="s">
        <v>238</v>
      </c>
      <c r="B5" s="175" t="s">
        <v>239</v>
      </c>
      <c r="C5" s="176"/>
      <c r="D5" s="176"/>
      <c r="E5" s="176"/>
      <c r="F5" s="176"/>
      <c r="G5" s="176"/>
      <c r="H5" s="157"/>
      <c r="I5" s="164"/>
      <c r="J5" s="165"/>
      <c r="K5" s="166"/>
    </row>
    <row r="6" spans="1:16" s="20" customFormat="1" ht="16">
      <c r="A6" s="96" t="s">
        <v>240</v>
      </c>
      <c r="B6" s="162" t="s">
        <v>241</v>
      </c>
      <c r="C6" s="163"/>
      <c r="D6" s="163"/>
      <c r="E6" s="163"/>
      <c r="F6" s="163"/>
      <c r="G6" s="163"/>
      <c r="H6" s="157"/>
      <c r="I6" s="164"/>
      <c r="J6" s="165"/>
      <c r="K6" s="166"/>
      <c r="P6" s="97"/>
    </row>
    <row r="7" spans="1:16" ht="17" thickBot="1">
      <c r="A7" s="98" t="s">
        <v>242</v>
      </c>
      <c r="B7" s="149" t="s">
        <v>243</v>
      </c>
      <c r="C7" s="150"/>
      <c r="D7" s="150"/>
      <c r="E7" s="150"/>
      <c r="F7" s="150"/>
      <c r="G7" s="150"/>
      <c r="H7" s="158"/>
      <c r="I7" s="167"/>
      <c r="J7" s="168"/>
      <c r="K7" s="169"/>
    </row>
    <row r="8" spans="1:16" ht="17" thickBot="1">
      <c r="A8" t="s">
        <v>679</v>
      </c>
      <c r="B8" s="21"/>
      <c r="C8" s="99"/>
      <c r="D8" s="21"/>
      <c r="E8" s="21"/>
      <c r="F8" s="100" t="s">
        <v>680</v>
      </c>
      <c r="G8" s="101"/>
      <c r="H8" s="21"/>
      <c r="K8" s="102"/>
    </row>
    <row r="9" spans="1:16" ht="17" thickBot="1">
      <c r="A9" t="s">
        <v>681</v>
      </c>
      <c r="B9" s="21"/>
      <c r="C9" s="99"/>
      <c r="D9" s="21"/>
      <c r="E9" s="21"/>
      <c r="F9" s="103">
        <v>0.25</v>
      </c>
      <c r="G9" s="101"/>
      <c r="H9" s="21"/>
      <c r="K9" s="102"/>
      <c r="L9" s="151" t="s">
        <v>682</v>
      </c>
      <c r="M9" s="152"/>
      <c r="N9" s="152"/>
      <c r="O9" s="152"/>
      <c r="P9" s="153"/>
    </row>
    <row r="10" spans="1:16" ht="54" customHeight="1">
      <c r="A10" s="104" t="s">
        <v>244</v>
      </c>
      <c r="B10" s="105" t="s">
        <v>245</v>
      </c>
      <c r="C10" s="106" t="s">
        <v>683</v>
      </c>
      <c r="D10" s="105" t="s">
        <v>684</v>
      </c>
      <c r="E10" s="105" t="s">
        <v>685</v>
      </c>
      <c r="F10" s="105" t="s">
        <v>686</v>
      </c>
      <c r="G10" s="105" t="s">
        <v>687</v>
      </c>
      <c r="H10" s="105" t="s">
        <v>688</v>
      </c>
      <c r="I10" s="105" t="s">
        <v>689</v>
      </c>
      <c r="J10" s="105" t="s">
        <v>690</v>
      </c>
      <c r="K10" s="107" t="s">
        <v>691</v>
      </c>
      <c r="L10" s="108" t="s">
        <v>692</v>
      </c>
      <c r="M10" s="108" t="s">
        <v>693</v>
      </c>
      <c r="N10" s="108" t="s">
        <v>694</v>
      </c>
      <c r="O10" s="108" t="s">
        <v>695</v>
      </c>
      <c r="P10" s="109" t="s">
        <v>696</v>
      </c>
    </row>
    <row r="11" spans="1:16" ht="16" hidden="1">
      <c r="A11" s="110" t="s">
        <v>246</v>
      </c>
      <c r="B11" s="19">
        <v>57</v>
      </c>
      <c r="C11" s="111">
        <v>1.3723256229214125</v>
      </c>
      <c r="D11" s="24">
        <v>0.3376460554541183</v>
      </c>
      <c r="E11" s="24">
        <v>5.438041996417136E-2</v>
      </c>
      <c r="F11" s="111">
        <f>IF($F$8="Effective",C11/(1+(1-E11)*D11),C11/(1+(1-$F$9)*D11))</f>
        <v>1.0950269701150073</v>
      </c>
      <c r="G11" s="24">
        <v>7.2490862138103254E-2</v>
      </c>
      <c r="H11" s="111">
        <f>F11/(1-G11)</f>
        <v>1.1806104386629273</v>
      </c>
      <c r="I11" s="112">
        <v>0.6203609804405511</v>
      </c>
      <c r="J11" s="24">
        <v>0.56414425301504312</v>
      </c>
      <c r="K11" s="113">
        <v>0.14941013906302508</v>
      </c>
      <c r="L11" s="111">
        <v>0.93495314294485965</v>
      </c>
      <c r="M11" s="21">
        <v>0.77</v>
      </c>
      <c r="N11" s="111">
        <v>1.1018246898142943</v>
      </c>
      <c r="O11" s="111">
        <v>1.3458926691301203</v>
      </c>
      <c r="P11" s="99">
        <v>1.0666561881104404</v>
      </c>
    </row>
    <row r="12" spans="1:16" ht="16" hidden="1">
      <c r="A12" s="110" t="s">
        <v>247</v>
      </c>
      <c r="B12" s="19">
        <v>70</v>
      </c>
      <c r="C12" s="111">
        <v>1.0764050153356324</v>
      </c>
      <c r="D12" s="24">
        <v>0.25457571395163686</v>
      </c>
      <c r="E12" s="24">
        <v>7.2752939084211404E-2</v>
      </c>
      <c r="F12" s="111">
        <f t="shared" ref="F12:F75" si="0">IF($F$8="Effective",C12/(1+(1-E12)*D12),C12/(1+(1-$F$9)*D12))</f>
        <v>0.90383431567954964</v>
      </c>
      <c r="G12" s="24">
        <v>2.9026290105775922E-2</v>
      </c>
      <c r="H12" s="111">
        <f t="shared" ref="H12:H75" si="1">F12/(1-G12)</f>
        <v>0.93085354059484426</v>
      </c>
      <c r="I12" s="112">
        <v>0.45844858400171823</v>
      </c>
      <c r="J12" s="24">
        <v>0.36402149671230677</v>
      </c>
      <c r="K12" s="113">
        <v>0.19496421090029134</v>
      </c>
      <c r="L12" s="111">
        <v>1.078522159887352</v>
      </c>
      <c r="M12" s="21">
        <v>0.91</v>
      </c>
      <c r="N12" s="111">
        <v>1.1104126718043248</v>
      </c>
      <c r="O12" s="111">
        <v>1.2292962090923658</v>
      </c>
      <c r="P12" s="99">
        <v>1.0518169162757776</v>
      </c>
    </row>
    <row r="13" spans="1:16" ht="16" hidden="1">
      <c r="A13" s="110" t="s">
        <v>248</v>
      </c>
      <c r="B13" s="19">
        <v>25</v>
      </c>
      <c r="C13" s="111">
        <v>1.2668401714816373</v>
      </c>
      <c r="D13" s="24">
        <v>1.6215095249162859</v>
      </c>
      <c r="E13" s="24">
        <v>8.6210396664610348E-2</v>
      </c>
      <c r="F13" s="111">
        <f t="shared" si="0"/>
        <v>0.57164468964105219</v>
      </c>
      <c r="G13" s="24">
        <v>0.10706753668515928</v>
      </c>
      <c r="H13" s="111">
        <f t="shared" si="1"/>
        <v>0.64018804683047448</v>
      </c>
      <c r="I13" s="112">
        <v>0.5220808406082641</v>
      </c>
      <c r="J13" s="24">
        <v>0.44650998921901031</v>
      </c>
      <c r="K13" s="113">
        <v>2.1529994663923668</v>
      </c>
      <c r="L13" s="111">
        <v>0.84367299762743941</v>
      </c>
      <c r="M13" s="21">
        <v>0.91</v>
      </c>
      <c r="N13" s="111">
        <v>0.91413822789599297</v>
      </c>
      <c r="O13" s="111">
        <v>0.69399800343932827</v>
      </c>
      <c r="P13" s="99">
        <v>0.80039945515864708</v>
      </c>
    </row>
    <row r="14" spans="1:16" ht="16" hidden="1">
      <c r="A14" s="110" t="s">
        <v>249</v>
      </c>
      <c r="B14" s="19">
        <v>38</v>
      </c>
      <c r="C14" s="111">
        <v>1.1946998769689117</v>
      </c>
      <c r="D14" s="24">
        <v>0.48762482403196489</v>
      </c>
      <c r="E14" s="24">
        <v>0.10192862402659153</v>
      </c>
      <c r="F14" s="111">
        <f t="shared" si="0"/>
        <v>0.87477746967929237</v>
      </c>
      <c r="G14" s="24">
        <v>5.8949672759265083E-2</v>
      </c>
      <c r="H14" s="111">
        <f t="shared" si="1"/>
        <v>0.92957565005501674</v>
      </c>
      <c r="I14" s="112">
        <v>0.4816041103429658</v>
      </c>
      <c r="J14" s="24">
        <v>0.37035509904588476</v>
      </c>
      <c r="K14" s="113">
        <v>0.24042645666743934</v>
      </c>
      <c r="L14" s="111">
        <v>0.82964100094338267</v>
      </c>
      <c r="M14" s="21">
        <v>0.94</v>
      </c>
      <c r="N14" s="111">
        <v>1.098346042881063</v>
      </c>
      <c r="O14" s="111">
        <v>1.0163797426008965</v>
      </c>
      <c r="P14" s="99">
        <v>0.96278848729607169</v>
      </c>
    </row>
    <row r="15" spans="1:16" ht="16" hidden="1">
      <c r="A15" s="110" t="s">
        <v>250</v>
      </c>
      <c r="B15" s="19">
        <v>34</v>
      </c>
      <c r="C15" s="111">
        <v>1.5223779065768546</v>
      </c>
      <c r="D15" s="24">
        <v>0.31019415255991273</v>
      </c>
      <c r="E15" s="24">
        <v>3.1169075211201127E-2</v>
      </c>
      <c r="F15" s="111">
        <f t="shared" si="0"/>
        <v>1.2350491404565327</v>
      </c>
      <c r="G15" s="24">
        <v>5.2898882232141342E-2</v>
      </c>
      <c r="H15" s="111">
        <f t="shared" si="1"/>
        <v>1.3040309184380587</v>
      </c>
      <c r="I15" s="112">
        <v>0.70805938870984941</v>
      </c>
      <c r="J15" s="24">
        <v>0.59698514250325996</v>
      </c>
      <c r="K15" s="113">
        <v>0.48099799249917013</v>
      </c>
      <c r="L15" s="111">
        <v>0.52573503977592417</v>
      </c>
      <c r="M15" s="21">
        <v>1.05</v>
      </c>
      <c r="N15" s="111">
        <v>1.0207658043192696</v>
      </c>
      <c r="O15" s="111">
        <v>1.2255318343171395</v>
      </c>
      <c r="P15" s="99">
        <v>1.0252127193700784</v>
      </c>
    </row>
    <row r="16" spans="1:16" ht="16">
      <c r="A16" s="110" t="s">
        <v>251</v>
      </c>
      <c r="B16" s="19">
        <v>39</v>
      </c>
      <c r="C16" s="111">
        <v>1.3444265903808044</v>
      </c>
      <c r="D16" s="24">
        <v>0.38439482769903521</v>
      </c>
      <c r="E16" s="24">
        <v>0.14615612198755554</v>
      </c>
      <c r="F16" s="111">
        <f t="shared" si="0"/>
        <v>1.0435695401867646</v>
      </c>
      <c r="G16" s="24">
        <v>6.915891764584535E-2</v>
      </c>
      <c r="H16" s="111">
        <f t="shared" si="1"/>
        <v>1.1211038704345888</v>
      </c>
      <c r="I16" s="112">
        <v>0.46516746954780275</v>
      </c>
      <c r="J16" s="24">
        <v>0.37071964001600449</v>
      </c>
      <c r="K16" s="113">
        <v>0.20990941634724092</v>
      </c>
      <c r="L16" s="111">
        <v>0.94699357699930653</v>
      </c>
      <c r="M16" s="21">
        <v>1.0900000000000001</v>
      </c>
      <c r="N16" s="111">
        <v>1.212594354633614</v>
      </c>
      <c r="O16" s="111">
        <v>1.202436458457679</v>
      </c>
      <c r="P16" s="99">
        <v>1.1146256521050375</v>
      </c>
    </row>
    <row r="17" spans="1:16" ht="16" hidden="1">
      <c r="A17" s="110" t="s">
        <v>252</v>
      </c>
      <c r="B17" s="19">
        <v>15</v>
      </c>
      <c r="C17" s="111">
        <v>1.0613761697933088</v>
      </c>
      <c r="D17" s="24">
        <v>2.1616215427489998</v>
      </c>
      <c r="E17" s="24">
        <v>0.1768572683971302</v>
      </c>
      <c r="F17" s="111">
        <f t="shared" si="0"/>
        <v>0.40491745289066799</v>
      </c>
      <c r="G17" s="24">
        <v>0.3712511878082051</v>
      </c>
      <c r="H17" s="111">
        <f t="shared" si="1"/>
        <v>0.64400511784529801</v>
      </c>
      <c r="I17" s="112">
        <v>0.31085470670237902</v>
      </c>
      <c r="J17" s="24">
        <v>0.22510527234137442</v>
      </c>
      <c r="K17" s="113" t="s">
        <v>261</v>
      </c>
      <c r="L17" s="111">
        <v>0.55954146707616625</v>
      </c>
      <c r="M17" s="21">
        <v>0.59</v>
      </c>
      <c r="N17" s="111">
        <v>1.0325147457583626</v>
      </c>
      <c r="O17" s="111">
        <v>0.73934143059161173</v>
      </c>
      <c r="P17" s="99">
        <v>0.71308055225428768</v>
      </c>
    </row>
    <row r="18" spans="1:16" ht="16" hidden="1">
      <c r="A18" s="110" t="s">
        <v>253</v>
      </c>
      <c r="B18" s="19">
        <v>625</v>
      </c>
      <c r="C18" s="111">
        <v>0.46115813409367462</v>
      </c>
      <c r="D18" s="24">
        <v>1.0194606882049146</v>
      </c>
      <c r="E18" s="24">
        <v>0.17694013741619696</v>
      </c>
      <c r="F18" s="111">
        <f t="shared" si="0"/>
        <v>0.26133928703325032</v>
      </c>
      <c r="G18" s="24">
        <v>0.21606039191256041</v>
      </c>
      <c r="H18" s="111">
        <f t="shared" si="1"/>
        <v>0.33336660673496787</v>
      </c>
      <c r="I18" s="112">
        <v>0.23976240279666577</v>
      </c>
      <c r="J18" s="24">
        <v>0.1867735328629955</v>
      </c>
      <c r="K18" s="113">
        <v>0.7566275220348464</v>
      </c>
      <c r="L18" s="111">
        <v>0.43131558206262371</v>
      </c>
      <c r="M18" s="21">
        <v>0.6</v>
      </c>
      <c r="N18" s="111">
        <v>0.84127389209358849</v>
      </c>
      <c r="O18" s="111">
        <v>0.41298063839707061</v>
      </c>
      <c r="P18" s="99">
        <v>0.52378734385765013</v>
      </c>
    </row>
    <row r="19" spans="1:16" ht="16" hidden="1">
      <c r="A19" s="110" t="s">
        <v>254</v>
      </c>
      <c r="B19" s="19">
        <v>19</v>
      </c>
      <c r="C19" s="111">
        <v>1.1318349126688121</v>
      </c>
      <c r="D19" s="24">
        <v>0.24464835466543577</v>
      </c>
      <c r="E19" s="24">
        <v>0.10420025692940119</v>
      </c>
      <c r="F19" s="111">
        <f t="shared" si="0"/>
        <v>0.95635660943926404</v>
      </c>
      <c r="G19" s="24">
        <v>1.4332956776744005E-2</v>
      </c>
      <c r="H19" s="111">
        <f t="shared" si="1"/>
        <v>0.97026335212736425</v>
      </c>
      <c r="I19" s="112">
        <v>0.52695167860930214</v>
      </c>
      <c r="J19" s="24">
        <v>0.4970414041193621</v>
      </c>
      <c r="K19" s="113">
        <v>0.26871035146117733</v>
      </c>
      <c r="L19" s="111">
        <v>0.91888255777611116</v>
      </c>
      <c r="M19" s="21">
        <v>0.67</v>
      </c>
      <c r="N19" s="111">
        <v>0.72052481164241255</v>
      </c>
      <c r="O19" s="111">
        <v>0.88078229176337852</v>
      </c>
      <c r="P19" s="99">
        <v>0.8320906026618532</v>
      </c>
    </row>
    <row r="20" spans="1:16" ht="16" hidden="1">
      <c r="A20" s="110" t="s">
        <v>255</v>
      </c>
      <c r="B20" s="19">
        <v>29</v>
      </c>
      <c r="C20" s="111">
        <v>0.76414587542458534</v>
      </c>
      <c r="D20" s="24">
        <v>0.17117669766473828</v>
      </c>
      <c r="E20" s="24">
        <v>6.675054463698489E-2</v>
      </c>
      <c r="F20" s="111">
        <f t="shared" si="0"/>
        <v>0.67720463555625598</v>
      </c>
      <c r="G20" s="24">
        <v>3.5091965568080405E-2</v>
      </c>
      <c r="H20" s="111">
        <f t="shared" si="1"/>
        <v>0.70183334721111912</v>
      </c>
      <c r="I20" s="112">
        <v>0.56187275761148214</v>
      </c>
      <c r="J20" s="24">
        <v>0.42961071148670704</v>
      </c>
      <c r="K20" s="113">
        <v>0.11388720987021173</v>
      </c>
      <c r="L20" s="111">
        <v>1.0907131928183842</v>
      </c>
      <c r="M20" s="21">
        <v>0.71</v>
      </c>
      <c r="N20" s="111">
        <v>1.1155473334942059</v>
      </c>
      <c r="O20" s="111">
        <v>1.2014134916712005</v>
      </c>
      <c r="P20" s="99">
        <v>0.96390147303898188</v>
      </c>
    </row>
    <row r="21" spans="1:16" ht="16" hidden="1">
      <c r="A21" s="110" t="s">
        <v>256</v>
      </c>
      <c r="B21" s="19">
        <v>22</v>
      </c>
      <c r="C21" s="111">
        <v>1.0609243999049403</v>
      </c>
      <c r="D21" s="24">
        <v>1.7640190042778621</v>
      </c>
      <c r="E21" s="24">
        <v>7.8549043141772593E-2</v>
      </c>
      <c r="F21" s="111">
        <f t="shared" si="0"/>
        <v>0.45670163170099376</v>
      </c>
      <c r="G21" s="24">
        <v>8.6152011605946224E-2</v>
      </c>
      <c r="H21" s="111">
        <f t="shared" si="1"/>
        <v>0.49975667452480371</v>
      </c>
      <c r="I21" s="112">
        <v>0.51343287854499708</v>
      </c>
      <c r="J21" s="24">
        <v>0.38457133667076027</v>
      </c>
      <c r="K21" s="113">
        <v>0.29654786117583221</v>
      </c>
      <c r="L21" s="111">
        <v>0.72993739029315097</v>
      </c>
      <c r="M21" s="21">
        <v>0.65</v>
      </c>
      <c r="N21" s="111">
        <v>0.8112721237191215</v>
      </c>
      <c r="O21" s="111">
        <v>0.70215995917133367</v>
      </c>
      <c r="P21" s="99">
        <v>0.67862522954168192</v>
      </c>
    </row>
    <row r="22" spans="1:16" ht="16" hidden="1">
      <c r="A22" s="110" t="s">
        <v>257</v>
      </c>
      <c r="B22" s="19">
        <v>27</v>
      </c>
      <c r="C22" s="111">
        <v>1.120326193984736</v>
      </c>
      <c r="D22" s="24">
        <v>2.260596584638018</v>
      </c>
      <c r="E22" s="24">
        <v>0.16840414602423662</v>
      </c>
      <c r="F22" s="111">
        <f t="shared" si="0"/>
        <v>0.41563644610229206</v>
      </c>
      <c r="G22" s="24">
        <v>0.24536513994561884</v>
      </c>
      <c r="H22" s="111">
        <f t="shared" si="1"/>
        <v>0.55077822149952105</v>
      </c>
      <c r="I22" s="112">
        <v>0.32719370904363526</v>
      </c>
      <c r="J22" s="24">
        <v>0.25213732428210645</v>
      </c>
      <c r="K22" s="113">
        <v>0.4588912654064915</v>
      </c>
      <c r="L22" s="111">
        <v>0.56767432387195649</v>
      </c>
      <c r="M22" s="21">
        <v>0.56999999999999995</v>
      </c>
      <c r="N22" s="111">
        <v>0.67007031178199383</v>
      </c>
      <c r="O22" s="111">
        <v>0.69375056275316571</v>
      </c>
      <c r="P22" s="99">
        <v>0.61045468398132741</v>
      </c>
    </row>
    <row r="23" spans="1:16" ht="16" hidden="1">
      <c r="A23" s="110" t="s">
        <v>258</v>
      </c>
      <c r="B23" s="19">
        <v>44</v>
      </c>
      <c r="C23" s="111">
        <v>1.3177985305249351</v>
      </c>
      <c r="D23" s="24">
        <v>0.18149015813482311</v>
      </c>
      <c r="E23" s="24">
        <v>0.19935747379008123</v>
      </c>
      <c r="F23" s="111">
        <f t="shared" si="0"/>
        <v>1.1599138231370081</v>
      </c>
      <c r="G23" s="24">
        <v>4.0638085913490329E-2</v>
      </c>
      <c r="H23" s="111">
        <f t="shared" si="1"/>
        <v>1.2090471865786552</v>
      </c>
      <c r="I23" s="112">
        <v>0.38660438883906029</v>
      </c>
      <c r="J23" s="24">
        <v>0.28715879840268466</v>
      </c>
      <c r="K23" s="113">
        <v>0.52154571098467084</v>
      </c>
      <c r="L23" s="111">
        <v>1.0185312839204805</v>
      </c>
      <c r="M23" s="21">
        <v>0.97</v>
      </c>
      <c r="N23" s="111">
        <v>1.0871499229138373</v>
      </c>
      <c r="O23" s="111">
        <v>1.0983592603350816</v>
      </c>
      <c r="P23" s="99">
        <v>1.0766175307496109</v>
      </c>
    </row>
    <row r="24" spans="1:16" ht="16" hidden="1">
      <c r="A24" s="110" t="s">
        <v>259</v>
      </c>
      <c r="B24" s="19">
        <v>162</v>
      </c>
      <c r="C24" s="111">
        <v>1.0221017216409709</v>
      </c>
      <c r="D24" s="24">
        <v>0.1793927980143539</v>
      </c>
      <c r="E24" s="24">
        <v>0.10838486587183108</v>
      </c>
      <c r="F24" s="111">
        <f t="shared" si="0"/>
        <v>0.90089162028765546</v>
      </c>
      <c r="G24" s="24">
        <v>3.0926977065301082E-2</v>
      </c>
      <c r="H24" s="111">
        <f t="shared" si="1"/>
        <v>0.92964265743301178</v>
      </c>
      <c r="I24" s="112">
        <v>0.48783077970239719</v>
      </c>
      <c r="J24" s="24">
        <v>0.41290054994468384</v>
      </c>
      <c r="K24" s="113">
        <v>0.2354697080580874</v>
      </c>
      <c r="L24" s="111">
        <v>0.89488661716469986</v>
      </c>
      <c r="M24" s="21">
        <v>0.83</v>
      </c>
      <c r="N24" s="111">
        <v>0.98611314803847128</v>
      </c>
      <c r="O24" s="111">
        <v>1.0198687734730703</v>
      </c>
      <c r="P24" s="99">
        <v>0.93210223922185054</v>
      </c>
    </row>
    <row r="25" spans="1:16" ht="16" hidden="1">
      <c r="A25" s="110" t="s">
        <v>260</v>
      </c>
      <c r="B25" s="19">
        <v>10</v>
      </c>
      <c r="C25" s="111">
        <v>1.2767983158980267</v>
      </c>
      <c r="D25" s="24">
        <v>1.0171865692911199</v>
      </c>
      <c r="E25" s="24">
        <v>0.23715496806034392</v>
      </c>
      <c r="F25" s="111">
        <f t="shared" si="0"/>
        <v>0.72426434365856862</v>
      </c>
      <c r="G25" s="24">
        <v>1.5449619732832572E-2</v>
      </c>
      <c r="H25" s="111">
        <f t="shared" si="1"/>
        <v>0.73562954032076278</v>
      </c>
      <c r="I25" s="112">
        <v>0.41988100180216054</v>
      </c>
      <c r="J25" s="24">
        <v>0.3300530419558696</v>
      </c>
      <c r="K25" s="113">
        <v>0.27252311143260127</v>
      </c>
      <c r="L25" s="111">
        <v>0.77660827932883303</v>
      </c>
      <c r="M25" s="21">
        <v>0.7</v>
      </c>
      <c r="N25" s="111">
        <v>0.66413861096321036</v>
      </c>
      <c r="O25" s="111">
        <v>0.70592024428519573</v>
      </c>
      <c r="P25" s="99">
        <v>0.71645933497960035</v>
      </c>
    </row>
    <row r="26" spans="1:16" ht="16" hidden="1">
      <c r="A26" s="110" t="s">
        <v>262</v>
      </c>
      <c r="B26" s="19">
        <v>32</v>
      </c>
      <c r="C26" s="111">
        <v>1.096267077331708</v>
      </c>
      <c r="D26" s="24">
        <v>0.45676307547607758</v>
      </c>
      <c r="E26" s="24">
        <v>8.9332392882258332E-2</v>
      </c>
      <c r="F26" s="111">
        <f t="shared" si="0"/>
        <v>0.81654229864325789</v>
      </c>
      <c r="G26" s="24">
        <v>6.6478905638430286E-2</v>
      </c>
      <c r="H26" s="111">
        <f t="shared" si="1"/>
        <v>0.87469078478798268</v>
      </c>
      <c r="I26" s="112">
        <v>0.48552757534944752</v>
      </c>
      <c r="J26" s="24">
        <v>0.38924523542650602</v>
      </c>
      <c r="K26" s="113">
        <v>0.40819587798008267</v>
      </c>
      <c r="L26" s="111">
        <v>0.99295661249847555</v>
      </c>
      <c r="M26" s="21">
        <v>0.76</v>
      </c>
      <c r="N26" s="111">
        <v>0.93712842522034645</v>
      </c>
      <c r="O26" s="111">
        <v>0.95899003084657786</v>
      </c>
      <c r="P26" s="99">
        <v>0.90475317067067651</v>
      </c>
    </row>
    <row r="27" spans="1:16" ht="16" hidden="1">
      <c r="A27" s="110" t="s">
        <v>263</v>
      </c>
      <c r="B27" s="19">
        <v>4</v>
      </c>
      <c r="C27" s="111">
        <v>1.1332797311390761</v>
      </c>
      <c r="D27" s="24">
        <v>0.69528482689455884</v>
      </c>
      <c r="E27" s="24">
        <v>0.14892889699179582</v>
      </c>
      <c r="F27" s="111">
        <f t="shared" si="0"/>
        <v>0.74486153734767913</v>
      </c>
      <c r="G27" s="24">
        <v>8.4330204332577943E-2</v>
      </c>
      <c r="H27" s="111">
        <f t="shared" si="1"/>
        <v>0.81346085769352849</v>
      </c>
      <c r="I27" s="112">
        <v>0.30122649893216696</v>
      </c>
      <c r="J27" s="24">
        <v>0.37242278384437877</v>
      </c>
      <c r="K27" s="113">
        <v>0.34914651301444022</v>
      </c>
      <c r="L27" s="111">
        <v>1.2147165368811397</v>
      </c>
      <c r="M27" s="21">
        <v>1.03</v>
      </c>
      <c r="N27" s="111">
        <v>1.2079101125783385</v>
      </c>
      <c r="O27" s="111">
        <v>1.0902565654988166</v>
      </c>
      <c r="P27" s="99">
        <v>1.0712688145303648</v>
      </c>
    </row>
    <row r="28" spans="1:16" ht="16" hidden="1">
      <c r="A28" s="110" t="s">
        <v>264</v>
      </c>
      <c r="B28" s="19">
        <v>68</v>
      </c>
      <c r="C28" s="111">
        <v>1.0873832852797658</v>
      </c>
      <c r="D28" s="24">
        <v>0.26821235396044113</v>
      </c>
      <c r="E28" s="24">
        <v>0.10395775946098325</v>
      </c>
      <c r="F28" s="111">
        <f t="shared" si="0"/>
        <v>0.90527818961125484</v>
      </c>
      <c r="G28" s="24">
        <v>3.5024306501490229E-2</v>
      </c>
      <c r="H28" s="111">
        <f t="shared" si="1"/>
        <v>0.93813574342911976</v>
      </c>
      <c r="I28" s="112">
        <v>0.44434828494565032</v>
      </c>
      <c r="J28" s="24">
        <v>0.36600539277751015</v>
      </c>
      <c r="K28" s="113">
        <v>0.18604811589256121</v>
      </c>
      <c r="L28" s="111">
        <v>0.96485709428166544</v>
      </c>
      <c r="M28" s="21">
        <v>0.82</v>
      </c>
      <c r="N28" s="111">
        <v>0.99772295408911504</v>
      </c>
      <c r="O28" s="111">
        <v>1.1152530501630955</v>
      </c>
      <c r="P28" s="99">
        <v>0.9671937683925993</v>
      </c>
    </row>
    <row r="29" spans="1:16" ht="16" hidden="1">
      <c r="A29" s="110" t="s">
        <v>265</v>
      </c>
      <c r="B29" s="19">
        <v>18</v>
      </c>
      <c r="C29" s="111">
        <v>1.2707580825145446</v>
      </c>
      <c r="D29" s="24">
        <v>0.22544237756864877</v>
      </c>
      <c r="E29" s="24">
        <v>2.6193822905913572E-2</v>
      </c>
      <c r="F29" s="111">
        <f t="shared" si="0"/>
        <v>1.0869710749078612</v>
      </c>
      <c r="G29" s="24">
        <v>0.12533259559127807</v>
      </c>
      <c r="H29" s="111">
        <f t="shared" si="1"/>
        <v>1.2427250283125129</v>
      </c>
      <c r="I29" s="112">
        <v>0.50837418364910869</v>
      </c>
      <c r="J29" s="24">
        <v>0.55692259899700314</v>
      </c>
      <c r="K29" s="113">
        <v>4.1549397092449407</v>
      </c>
      <c r="L29" s="111">
        <v>1.0486643640232785</v>
      </c>
      <c r="M29" s="21">
        <v>0.56000000000000005</v>
      </c>
      <c r="N29" s="111">
        <v>0.81971087332733406</v>
      </c>
      <c r="O29" s="111">
        <v>1.4289145880963197</v>
      </c>
      <c r="P29" s="99">
        <v>1.0200029707518889</v>
      </c>
    </row>
    <row r="30" spans="1:16" ht="16" hidden="1">
      <c r="A30" s="110" t="s">
        <v>266</v>
      </c>
      <c r="B30" s="19">
        <v>72</v>
      </c>
      <c r="C30" s="111">
        <v>0.99732353782806837</v>
      </c>
      <c r="D30" s="24">
        <v>0.29142296849572724</v>
      </c>
      <c r="E30" s="24">
        <v>7.7823252777476412E-2</v>
      </c>
      <c r="F30" s="111">
        <f t="shared" si="0"/>
        <v>0.81843948880648487</v>
      </c>
      <c r="G30" s="24">
        <v>4.6882654225977122E-2</v>
      </c>
      <c r="H30" s="111">
        <f t="shared" si="1"/>
        <v>0.85869750711737747</v>
      </c>
      <c r="I30" s="112">
        <v>0.57503492016396696</v>
      </c>
      <c r="J30" s="24">
        <v>0.49612772702274627</v>
      </c>
      <c r="K30" s="113">
        <v>0.25480188388145936</v>
      </c>
      <c r="L30" s="111">
        <v>0.95286626462920188</v>
      </c>
      <c r="M30" s="21">
        <v>0.94</v>
      </c>
      <c r="N30" s="111">
        <v>1.0576213168025859</v>
      </c>
      <c r="O30" s="111">
        <v>0.99322179503265406</v>
      </c>
      <c r="P30" s="99">
        <v>0.96048137671636391</v>
      </c>
    </row>
    <row r="31" spans="1:16" ht="16" hidden="1">
      <c r="A31" s="110" t="s">
        <v>267</v>
      </c>
      <c r="B31" s="19">
        <v>36</v>
      </c>
      <c r="C31" s="111">
        <v>1.1329223650294353</v>
      </c>
      <c r="D31" s="24">
        <v>6.091503237450676E-2</v>
      </c>
      <c r="E31" s="24">
        <v>8.6699287009235834E-2</v>
      </c>
      <c r="F31" s="111">
        <f t="shared" si="0"/>
        <v>1.0834247258419334</v>
      </c>
      <c r="G31" s="24">
        <v>1.5385638665711706E-2</v>
      </c>
      <c r="H31" s="111">
        <f t="shared" si="1"/>
        <v>1.1003543807483607</v>
      </c>
      <c r="I31" s="112">
        <v>0.43897547581211671</v>
      </c>
      <c r="J31" s="24">
        <v>0.38898164531276785</v>
      </c>
      <c r="K31" s="113">
        <v>0.29077132132766326</v>
      </c>
      <c r="L31" s="111">
        <v>1.6400833392351297</v>
      </c>
      <c r="M31" s="21">
        <v>1.1399999999999999</v>
      </c>
      <c r="N31" s="111">
        <v>1.2487708944175273</v>
      </c>
      <c r="O31" s="111">
        <v>1.2270423722130051</v>
      </c>
      <c r="P31" s="99">
        <v>1.2712501973228045</v>
      </c>
    </row>
    <row r="32" spans="1:16" ht="16" hidden="1">
      <c r="A32" s="110" t="s">
        <v>268</v>
      </c>
      <c r="B32" s="19">
        <v>45</v>
      </c>
      <c r="C32" s="111">
        <v>1.1279620532844743</v>
      </c>
      <c r="D32" s="24">
        <v>0.24701474558030453</v>
      </c>
      <c r="E32" s="24">
        <v>0.14907547126563633</v>
      </c>
      <c r="F32" s="111">
        <f t="shared" si="0"/>
        <v>0.9516570586228974</v>
      </c>
      <c r="G32" s="24">
        <v>3.9354434462153469E-2</v>
      </c>
      <c r="H32" s="111">
        <f t="shared" si="1"/>
        <v>0.99064326403264391</v>
      </c>
      <c r="I32" s="112">
        <v>0.39771637369431545</v>
      </c>
      <c r="J32" s="24">
        <v>0.37831296869001413</v>
      </c>
      <c r="K32" s="113">
        <v>0.23963926441573849</v>
      </c>
      <c r="L32" s="111">
        <v>1.10359654774166</v>
      </c>
      <c r="M32" s="21">
        <v>0.87</v>
      </c>
      <c r="N32" s="111">
        <v>0.97964859930627823</v>
      </c>
      <c r="O32" s="111">
        <v>1.0760610533922743</v>
      </c>
      <c r="P32" s="99">
        <v>1.0039898928945714</v>
      </c>
    </row>
    <row r="33" spans="1:16" ht="16" hidden="1">
      <c r="A33" s="110" t="s">
        <v>269</v>
      </c>
      <c r="B33" s="19">
        <v>23</v>
      </c>
      <c r="C33" s="111">
        <v>1.1948544445210565</v>
      </c>
      <c r="D33" s="24">
        <v>0.19152881903444316</v>
      </c>
      <c r="E33" s="24">
        <v>5.2520475092155787E-2</v>
      </c>
      <c r="F33" s="111">
        <f t="shared" si="0"/>
        <v>1.0447759208185559</v>
      </c>
      <c r="G33" s="24">
        <v>4.3550835074725465E-2</v>
      </c>
      <c r="H33" s="111">
        <f t="shared" si="1"/>
        <v>1.0923486152033832</v>
      </c>
      <c r="I33" s="112">
        <v>0.54552575251397728</v>
      </c>
      <c r="J33" s="24">
        <v>0.5225050340018127</v>
      </c>
      <c r="K33" s="113">
        <v>0.66702460353714632</v>
      </c>
      <c r="L33" s="111">
        <v>1.2484828302966493</v>
      </c>
      <c r="M33" s="21">
        <v>0.89</v>
      </c>
      <c r="N33" s="111">
        <v>0.70214146215394413</v>
      </c>
      <c r="O33" s="111">
        <v>0.93949641382363391</v>
      </c>
      <c r="P33" s="99">
        <v>0.97449386429552209</v>
      </c>
    </row>
    <row r="34" spans="1:16" ht="16" hidden="1">
      <c r="A34" s="110" t="s">
        <v>270</v>
      </c>
      <c r="B34" s="19">
        <v>572</v>
      </c>
      <c r="C34" s="111">
        <v>1.1233547439492362</v>
      </c>
      <c r="D34" s="24">
        <v>0.1639040883798272</v>
      </c>
      <c r="E34" s="24">
        <v>8.1446950337839847E-3</v>
      </c>
      <c r="F34" s="111">
        <f t="shared" si="0"/>
        <v>1.0003799688307529</v>
      </c>
      <c r="G34" s="24">
        <v>8.1458808534528485E-2</v>
      </c>
      <c r="H34" s="111">
        <f t="shared" si="1"/>
        <v>1.0890964696256169</v>
      </c>
      <c r="I34" s="112">
        <v>0.63167067995994652</v>
      </c>
      <c r="J34" s="24">
        <v>0.6198094773831897</v>
      </c>
      <c r="K34" s="113">
        <v>0.27244166879641923</v>
      </c>
      <c r="L34" s="111">
        <v>1.3891731337867141</v>
      </c>
      <c r="M34" s="21">
        <v>0.85</v>
      </c>
      <c r="N34" s="111">
        <v>0.97223289569428162</v>
      </c>
      <c r="O34" s="111">
        <v>1.1994489579084946</v>
      </c>
      <c r="P34" s="99">
        <v>1.0999902914030215</v>
      </c>
    </row>
    <row r="35" spans="1:16" ht="16" hidden="1">
      <c r="A35" s="110" t="s">
        <v>271</v>
      </c>
      <c r="B35" s="19">
        <v>245</v>
      </c>
      <c r="C35" s="111">
        <v>1.0269619624933468</v>
      </c>
      <c r="D35" s="24">
        <v>0.16048090212821919</v>
      </c>
      <c r="E35" s="24">
        <v>2.8902976717007978E-2</v>
      </c>
      <c r="F35" s="111">
        <f t="shared" si="0"/>
        <v>0.91663513718941125</v>
      </c>
      <c r="G35" s="24">
        <v>2.8985822711617228E-2</v>
      </c>
      <c r="H35" s="111">
        <f t="shared" si="1"/>
        <v>0.94399768677855111</v>
      </c>
      <c r="I35" s="112">
        <v>0.66161835875313235</v>
      </c>
      <c r="J35" s="24">
        <v>0.6530341383257241</v>
      </c>
      <c r="K35" s="113">
        <v>0.29078013107657025</v>
      </c>
      <c r="L35" s="111">
        <v>1.2856575366949226</v>
      </c>
      <c r="M35" s="21">
        <v>0.84</v>
      </c>
      <c r="N35" s="111">
        <v>1.009823573553889</v>
      </c>
      <c r="O35" s="111">
        <v>1.1808060946282533</v>
      </c>
      <c r="P35" s="99">
        <v>1.0520569783311231</v>
      </c>
    </row>
    <row r="36" spans="1:16" ht="16" hidden="1">
      <c r="A36" s="110" t="s">
        <v>272</v>
      </c>
      <c r="B36" s="19">
        <v>31</v>
      </c>
      <c r="C36" s="111">
        <v>1.2251855531141391</v>
      </c>
      <c r="D36" s="24">
        <v>0.19593062771468026</v>
      </c>
      <c r="E36" s="24">
        <v>0.11152718346776205</v>
      </c>
      <c r="F36" s="111">
        <f t="shared" si="0"/>
        <v>1.0682137152869386</v>
      </c>
      <c r="G36" s="24">
        <v>6.8477383380214557E-2</v>
      </c>
      <c r="H36" s="111">
        <f t="shared" si="1"/>
        <v>1.1467394309363781</v>
      </c>
      <c r="I36" s="112">
        <v>0.54044529039151434</v>
      </c>
      <c r="J36" s="24">
        <v>0.43781301036597053</v>
      </c>
      <c r="K36" s="113">
        <v>0.17178084965382515</v>
      </c>
      <c r="L36" s="111">
        <v>1.3560146590000444</v>
      </c>
      <c r="M36" s="21">
        <v>1.07</v>
      </c>
      <c r="N36" s="111">
        <v>1.1033169078612295</v>
      </c>
      <c r="O36" s="111">
        <v>0.99371608027377023</v>
      </c>
      <c r="P36" s="99">
        <v>1.1339574156142844</v>
      </c>
    </row>
    <row r="37" spans="1:16" ht="16" hidden="1">
      <c r="A37" s="110" t="s">
        <v>273</v>
      </c>
      <c r="B37" s="19">
        <v>103</v>
      </c>
      <c r="C37" s="111">
        <v>1.2410543592858396</v>
      </c>
      <c r="D37" s="24">
        <v>0.21388089496884929</v>
      </c>
      <c r="E37" s="24">
        <v>5.6646535418373008E-2</v>
      </c>
      <c r="F37" s="111">
        <f t="shared" si="0"/>
        <v>1.0694958173505562</v>
      </c>
      <c r="G37" s="24">
        <v>6.6630090819405519E-2</v>
      </c>
      <c r="H37" s="111">
        <f t="shared" si="1"/>
        <v>1.145843471951508</v>
      </c>
      <c r="I37" s="112">
        <v>0.61997124158272321</v>
      </c>
      <c r="J37" s="24">
        <v>0.54423898938240323</v>
      </c>
      <c r="K37" s="113">
        <v>0.16700410633365231</v>
      </c>
      <c r="L37" s="111">
        <v>1.307118859086069</v>
      </c>
      <c r="M37" s="21">
        <v>1</v>
      </c>
      <c r="N37" s="111">
        <v>1.194327330306878</v>
      </c>
      <c r="O37" s="111">
        <v>1.4326548798323873</v>
      </c>
      <c r="P37" s="99">
        <v>1.2159889082353685</v>
      </c>
    </row>
    <row r="38" spans="1:16" ht="16" hidden="1">
      <c r="A38" s="110" t="s">
        <v>274</v>
      </c>
      <c r="B38" s="19">
        <v>13</v>
      </c>
      <c r="C38" s="111">
        <v>1.2951787766557901</v>
      </c>
      <c r="D38" s="24">
        <v>0.18324966158354025</v>
      </c>
      <c r="E38" s="24">
        <v>7.3079614651029509E-2</v>
      </c>
      <c r="F38" s="111">
        <f t="shared" si="0"/>
        <v>1.1386815237472103</v>
      </c>
      <c r="G38" s="24">
        <v>0.1260834028098469</v>
      </c>
      <c r="H38" s="111">
        <f t="shared" si="1"/>
        <v>1.3029636093516688</v>
      </c>
      <c r="I38" s="112">
        <v>0.52831604891459283</v>
      </c>
      <c r="J38" s="24">
        <v>0.39424154982087117</v>
      </c>
      <c r="K38" s="113">
        <v>2.6707163559385769</v>
      </c>
      <c r="L38" s="111">
        <v>1.2507943575732801</v>
      </c>
      <c r="M38" s="21">
        <v>1.01</v>
      </c>
      <c r="N38" s="111">
        <v>1.0571596798644427</v>
      </c>
      <c r="O38" s="111">
        <v>1.6130596990178139</v>
      </c>
      <c r="P38" s="99">
        <v>1.2467954691614411</v>
      </c>
    </row>
    <row r="39" spans="1:16" ht="16" hidden="1">
      <c r="A39" s="110" t="s">
        <v>275</v>
      </c>
      <c r="B39" s="19">
        <v>129</v>
      </c>
      <c r="C39" s="111">
        <v>0.93395459906726541</v>
      </c>
      <c r="D39" s="24">
        <v>0.17197352911694552</v>
      </c>
      <c r="E39" s="24">
        <v>8.1745773754216267E-2</v>
      </c>
      <c r="F39" s="111">
        <f t="shared" si="0"/>
        <v>0.82725511310653832</v>
      </c>
      <c r="G39" s="24">
        <v>5.6942278437104248E-2</v>
      </c>
      <c r="H39" s="111">
        <f t="shared" si="1"/>
        <v>0.8772051743933108</v>
      </c>
      <c r="I39" s="112">
        <v>0.48698621897302591</v>
      </c>
      <c r="J39" s="24">
        <v>0.42942643620556031</v>
      </c>
      <c r="K39" s="113">
        <v>0.28544033815631836</v>
      </c>
      <c r="L39" s="111">
        <v>1.070921529276746</v>
      </c>
      <c r="M39" s="21">
        <v>0.86</v>
      </c>
      <c r="N39" s="111">
        <v>1.051017267647953</v>
      </c>
      <c r="O39" s="111">
        <v>1.1161632606240839</v>
      </c>
      <c r="P39" s="99">
        <v>0.99506144638841865</v>
      </c>
    </row>
    <row r="40" spans="1:16" ht="16" hidden="1">
      <c r="A40" s="110" t="s">
        <v>276</v>
      </c>
      <c r="B40" s="19">
        <v>43</v>
      </c>
      <c r="C40" s="111">
        <v>0.96064394549084864</v>
      </c>
      <c r="D40" s="24">
        <v>0.26204696740451539</v>
      </c>
      <c r="E40" s="24">
        <v>0.14267200926568505</v>
      </c>
      <c r="F40" s="111">
        <f t="shared" si="0"/>
        <v>0.80285471332159042</v>
      </c>
      <c r="G40" s="24">
        <v>4.9512829922643518E-2</v>
      </c>
      <c r="H40" s="111">
        <f t="shared" si="1"/>
        <v>0.84467706518989538</v>
      </c>
      <c r="I40" s="112">
        <v>0.42206800134234879</v>
      </c>
      <c r="J40" s="24">
        <v>0.3368374054652199</v>
      </c>
      <c r="K40" s="113">
        <v>9.3743170490554806E-2</v>
      </c>
      <c r="L40" s="111">
        <v>1.3250378765861548</v>
      </c>
      <c r="M40" s="21">
        <v>0.95</v>
      </c>
      <c r="N40" s="111">
        <v>0.97396252486347068</v>
      </c>
      <c r="O40" s="111">
        <v>1.0176246718468016</v>
      </c>
      <c r="P40" s="99">
        <v>1.0222604276972647</v>
      </c>
    </row>
    <row r="41" spans="1:16" ht="16" hidden="1">
      <c r="A41" s="110" t="s">
        <v>277</v>
      </c>
      <c r="B41" s="19">
        <v>98</v>
      </c>
      <c r="C41" s="111">
        <v>0.99455942915170392</v>
      </c>
      <c r="D41" s="24">
        <v>0.28745461781332554</v>
      </c>
      <c r="E41" s="24">
        <v>3.2482833852845901E-2</v>
      </c>
      <c r="F41" s="111">
        <f t="shared" si="0"/>
        <v>0.81816948227606034</v>
      </c>
      <c r="G41" s="24">
        <v>5.4925096871062812E-2</v>
      </c>
      <c r="H41" s="111">
        <f t="shared" si="1"/>
        <v>0.86571919280395593</v>
      </c>
      <c r="I41" s="112">
        <v>0.61544373835523092</v>
      </c>
      <c r="J41" s="24">
        <v>0.61185830172417144</v>
      </c>
      <c r="K41" s="113">
        <v>0.30689851232787702</v>
      </c>
      <c r="L41" s="111">
        <v>1.2017030374551592</v>
      </c>
      <c r="M41" s="21">
        <v>0.84</v>
      </c>
      <c r="N41" s="111">
        <v>0.96424847628751709</v>
      </c>
      <c r="O41" s="111">
        <v>1.2462224080092748</v>
      </c>
      <c r="P41" s="99">
        <v>1.0235786229111814</v>
      </c>
    </row>
    <row r="42" spans="1:16" ht="16" hidden="1">
      <c r="A42" s="110" t="s">
        <v>278</v>
      </c>
      <c r="B42" s="19">
        <v>57</v>
      </c>
      <c r="C42" s="111">
        <v>0.90699903446977015</v>
      </c>
      <c r="D42" s="24">
        <v>0.21946614059170866</v>
      </c>
      <c r="E42" s="24">
        <v>5.4191743539848326E-2</v>
      </c>
      <c r="F42" s="111">
        <f t="shared" si="0"/>
        <v>0.7788076092676931</v>
      </c>
      <c r="G42" s="24">
        <v>8.810385871238266E-3</v>
      </c>
      <c r="H42" s="111">
        <f t="shared" si="1"/>
        <v>0.78573019548056033</v>
      </c>
      <c r="I42" s="112">
        <v>0.55052447407547278</v>
      </c>
      <c r="J42" s="24">
        <v>0.4606641855124769</v>
      </c>
      <c r="K42" s="113">
        <v>0.23511636640840194</v>
      </c>
      <c r="L42" s="111">
        <v>1.0485101305295534</v>
      </c>
      <c r="M42" s="21">
        <v>0.82</v>
      </c>
      <c r="N42" s="111">
        <v>1.0861829799643721</v>
      </c>
      <c r="O42" s="111">
        <v>0.85911095276292671</v>
      </c>
      <c r="P42" s="99">
        <v>0.91990685174748243</v>
      </c>
    </row>
    <row r="43" spans="1:16" ht="16" hidden="1">
      <c r="A43" s="110" t="s">
        <v>279</v>
      </c>
      <c r="B43" s="19">
        <v>42</v>
      </c>
      <c r="C43" s="111">
        <v>0.99162450807266023</v>
      </c>
      <c r="D43" s="24">
        <v>0.45303081682269397</v>
      </c>
      <c r="E43" s="24">
        <v>6.683606475914719E-2</v>
      </c>
      <c r="F43" s="111">
        <f t="shared" si="0"/>
        <v>0.74014360993981232</v>
      </c>
      <c r="G43" s="24">
        <v>3.7791499542723081E-2</v>
      </c>
      <c r="H43" s="111">
        <f t="shared" si="1"/>
        <v>0.76921333535098557</v>
      </c>
      <c r="I43" s="112">
        <v>0.57904136013342378</v>
      </c>
      <c r="J43" s="24">
        <v>0.54139722238781107</v>
      </c>
      <c r="K43" s="113">
        <v>0.41409022984229071</v>
      </c>
      <c r="L43" s="111">
        <v>0.62745114806840763</v>
      </c>
      <c r="M43" s="21">
        <v>0.68</v>
      </c>
      <c r="N43" s="111">
        <v>0.84786520692470635</v>
      </c>
      <c r="O43" s="111">
        <v>0.93104970680829247</v>
      </c>
      <c r="P43" s="99">
        <v>0.77111587943047843</v>
      </c>
    </row>
    <row r="44" spans="1:16" ht="16" hidden="1">
      <c r="A44" s="110" t="s">
        <v>280</v>
      </c>
      <c r="B44" s="19">
        <v>172</v>
      </c>
      <c r="C44" s="111">
        <v>1.1435084926002885</v>
      </c>
      <c r="D44" s="24">
        <v>3.5405968451888175</v>
      </c>
      <c r="E44" s="24">
        <v>0.11074192729500128</v>
      </c>
      <c r="F44" s="111">
        <f t="shared" si="0"/>
        <v>0.31282310872086055</v>
      </c>
      <c r="G44" s="24">
        <v>2.8435547333950716E-2</v>
      </c>
      <c r="H44" s="111">
        <f t="shared" si="1"/>
        <v>0.32197875072770449</v>
      </c>
      <c r="I44" s="112">
        <v>0.41891965274480025</v>
      </c>
      <c r="J44" s="24">
        <v>0.38661906483318564</v>
      </c>
      <c r="K44" s="113">
        <v>0.40909200547226859</v>
      </c>
      <c r="L44" s="111">
        <v>9.826313785398752E-2</v>
      </c>
      <c r="M44" s="21">
        <v>0.11</v>
      </c>
      <c r="N44" s="111">
        <v>0.15175874715602064</v>
      </c>
      <c r="O44" s="111">
        <v>0.10617474510192053</v>
      </c>
      <c r="P44" s="99">
        <v>0.15763507616792663</v>
      </c>
    </row>
    <row r="45" spans="1:16" ht="16" hidden="1">
      <c r="A45" s="110" t="s">
        <v>281</v>
      </c>
      <c r="B45" s="19">
        <v>82</v>
      </c>
      <c r="C45" s="111">
        <v>0.60571773514306815</v>
      </c>
      <c r="D45" s="24">
        <v>0.33703921680870308</v>
      </c>
      <c r="E45" s="24">
        <v>8.2893525119013114E-2</v>
      </c>
      <c r="F45" s="111">
        <f t="shared" si="0"/>
        <v>0.48349911328987644</v>
      </c>
      <c r="G45" s="24">
        <v>2.4966073464153245E-2</v>
      </c>
      <c r="H45" s="111">
        <f t="shared" si="1"/>
        <v>0.49587927161435114</v>
      </c>
      <c r="I45" s="112">
        <v>0.47218519424595179</v>
      </c>
      <c r="J45" s="24">
        <v>0.36509661152078565</v>
      </c>
      <c r="K45" s="113">
        <v>0.13405222882002157</v>
      </c>
      <c r="L45" s="111">
        <v>0.69680824795297369</v>
      </c>
      <c r="M45" s="21">
        <v>0.53</v>
      </c>
      <c r="N45" s="111">
        <v>0.63241384575053905</v>
      </c>
      <c r="O45" s="111">
        <v>0.76867267564864794</v>
      </c>
      <c r="P45" s="99">
        <v>0.62475480819330242</v>
      </c>
    </row>
    <row r="46" spans="1:16" ht="16" hidden="1">
      <c r="A46" s="110" t="s">
        <v>282</v>
      </c>
      <c r="B46" s="19">
        <v>14</v>
      </c>
      <c r="C46" s="111">
        <v>0.96571097077283663</v>
      </c>
      <c r="D46" s="24">
        <v>0.44634748148448322</v>
      </c>
      <c r="E46" s="24">
        <v>0.15895060357386712</v>
      </c>
      <c r="F46" s="111">
        <f t="shared" si="0"/>
        <v>0.72350874211616811</v>
      </c>
      <c r="G46" s="24">
        <v>1.5728702597620492E-2</v>
      </c>
      <c r="H46" s="111">
        <f t="shared" si="1"/>
        <v>0.73507044655838505</v>
      </c>
      <c r="I46" s="112">
        <v>0.40944343245192838</v>
      </c>
      <c r="J46" s="24">
        <v>0.27303412055804871</v>
      </c>
      <c r="K46" s="113">
        <v>0.29487159898115733</v>
      </c>
      <c r="L46" s="111">
        <v>0.65776617329136733</v>
      </c>
      <c r="M46" s="21">
        <v>0.8</v>
      </c>
      <c r="N46" s="111">
        <v>1.0834752105711281</v>
      </c>
      <c r="O46" s="111">
        <v>0.84570471745037612</v>
      </c>
      <c r="P46" s="99">
        <v>0.82440330957425145</v>
      </c>
    </row>
    <row r="47" spans="1:16" ht="16" hidden="1">
      <c r="A47" s="110" t="s">
        <v>283</v>
      </c>
      <c r="B47" s="19">
        <v>31</v>
      </c>
      <c r="C47" s="111">
        <v>1.1071062452097284</v>
      </c>
      <c r="D47" s="24">
        <v>0.47549341820140928</v>
      </c>
      <c r="E47" s="24">
        <v>0.13944466543634329</v>
      </c>
      <c r="F47" s="111">
        <f t="shared" si="0"/>
        <v>0.81607686254483458</v>
      </c>
      <c r="G47" s="24">
        <v>5.2381883674701271E-2</v>
      </c>
      <c r="H47" s="111">
        <f t="shared" si="1"/>
        <v>0.86118748521761213</v>
      </c>
      <c r="I47" s="112">
        <v>0.45124803853855538</v>
      </c>
      <c r="J47" s="24">
        <v>0.46652480430214993</v>
      </c>
      <c r="K47" s="113">
        <v>0.23420338005404248</v>
      </c>
      <c r="L47" s="111">
        <v>0.81832731033239059</v>
      </c>
      <c r="M47" s="21">
        <v>0.78</v>
      </c>
      <c r="N47" s="111">
        <v>0.9930686395536672</v>
      </c>
      <c r="O47" s="111">
        <v>0.95191223222451615</v>
      </c>
      <c r="P47" s="99">
        <v>0.88089913346563731</v>
      </c>
    </row>
    <row r="48" spans="1:16" ht="16" hidden="1">
      <c r="A48" s="110" t="s">
        <v>284</v>
      </c>
      <c r="B48" s="19">
        <v>17</v>
      </c>
      <c r="C48" s="111">
        <v>1.1067077196296322</v>
      </c>
      <c r="D48" s="24">
        <v>1.4140630943585424</v>
      </c>
      <c r="E48" s="24">
        <v>4.3866635152303012E-2</v>
      </c>
      <c r="F48" s="111">
        <f t="shared" si="0"/>
        <v>0.53709405674636823</v>
      </c>
      <c r="G48" s="24">
        <v>3.4152921948395643E-2</v>
      </c>
      <c r="H48" s="111">
        <f t="shared" si="1"/>
        <v>0.55608601915516875</v>
      </c>
      <c r="I48" s="112">
        <v>0.60054331759175228</v>
      </c>
      <c r="J48" s="24">
        <v>0.5733620520250774</v>
      </c>
      <c r="K48" s="113">
        <v>0.49864129522047979</v>
      </c>
      <c r="L48" s="111">
        <v>0.59377295201994196</v>
      </c>
      <c r="M48" s="21">
        <v>0.68</v>
      </c>
      <c r="N48" s="111">
        <v>1.0952567764169068</v>
      </c>
      <c r="O48" s="111">
        <v>0.87719231852421686</v>
      </c>
      <c r="P48" s="99">
        <v>0.7604616132232469</v>
      </c>
    </row>
    <row r="49" spans="1:16" ht="16" hidden="1">
      <c r="A49" s="110" t="s">
        <v>285</v>
      </c>
      <c r="B49" s="19">
        <v>230</v>
      </c>
      <c r="C49" s="111">
        <v>1.0620798954428441</v>
      </c>
      <c r="D49" s="24">
        <v>0.12663018847253693</v>
      </c>
      <c r="E49" s="24">
        <v>4.8144130281923228E-2</v>
      </c>
      <c r="F49" s="111">
        <f t="shared" si="0"/>
        <v>0.96996021209180838</v>
      </c>
      <c r="G49" s="24">
        <v>3.5266781839844455E-2</v>
      </c>
      <c r="H49" s="111">
        <f t="shared" si="1"/>
        <v>1.0054180718910262</v>
      </c>
      <c r="I49" s="112">
        <v>0.5729588590417255</v>
      </c>
      <c r="J49" s="24">
        <v>0.52205534504314732</v>
      </c>
      <c r="K49" s="113">
        <v>0.32961327947584584</v>
      </c>
      <c r="L49" s="111">
        <v>0.98181868386863347</v>
      </c>
      <c r="M49" s="21">
        <v>0.8</v>
      </c>
      <c r="N49" s="111">
        <v>0.91238001884570208</v>
      </c>
      <c r="O49" s="111">
        <v>1.0971029719882097</v>
      </c>
      <c r="P49" s="99">
        <v>0.95934394931871425</v>
      </c>
    </row>
    <row r="50" spans="1:16" ht="16" hidden="1">
      <c r="A50" s="110" t="s">
        <v>286</v>
      </c>
      <c r="B50" s="19">
        <v>119</v>
      </c>
      <c r="C50" s="111">
        <v>1.0326229061406076</v>
      </c>
      <c r="D50" s="24">
        <v>0.2686367579336767</v>
      </c>
      <c r="E50" s="24">
        <v>8.0842790360317815E-2</v>
      </c>
      <c r="F50" s="111">
        <f t="shared" si="0"/>
        <v>0.85946082828042358</v>
      </c>
      <c r="G50" s="24">
        <v>8.5977755395725899E-2</v>
      </c>
      <c r="H50" s="111">
        <f t="shared" si="1"/>
        <v>0.94030624894969284</v>
      </c>
      <c r="I50" s="112">
        <v>0.52228895984226242</v>
      </c>
      <c r="J50" s="24">
        <v>0.49525733448964099</v>
      </c>
      <c r="K50" s="113">
        <v>0.26952220685389039</v>
      </c>
      <c r="L50" s="111">
        <v>0.94623821494528337</v>
      </c>
      <c r="M50" s="21">
        <v>0.74</v>
      </c>
      <c r="N50" s="111">
        <v>0.94984695077290293</v>
      </c>
      <c r="O50" s="111">
        <v>1.0725471879998554</v>
      </c>
      <c r="P50" s="99">
        <v>0.92978772053354697</v>
      </c>
    </row>
    <row r="51" spans="1:16" ht="16" hidden="1">
      <c r="A51" s="110" t="s">
        <v>287</v>
      </c>
      <c r="B51" s="19">
        <v>128</v>
      </c>
      <c r="C51" s="111">
        <v>1.2747542568245518</v>
      </c>
      <c r="D51" s="24">
        <v>0.16069920897916454</v>
      </c>
      <c r="E51" s="24">
        <v>3.1110902999087604E-2</v>
      </c>
      <c r="F51" s="111">
        <f t="shared" si="0"/>
        <v>1.1376407770890611</v>
      </c>
      <c r="G51" s="24">
        <v>4.2014100566775243E-2</v>
      </c>
      <c r="H51" s="111">
        <f t="shared" si="1"/>
        <v>1.1875339477983193</v>
      </c>
      <c r="I51" s="112">
        <v>0.56073935835530719</v>
      </c>
      <c r="J51" s="24">
        <v>0.54153165246921775</v>
      </c>
      <c r="K51" s="113">
        <v>0.508275710623873</v>
      </c>
      <c r="L51" s="111">
        <v>1.152697351786613</v>
      </c>
      <c r="M51" s="21">
        <v>0.75</v>
      </c>
      <c r="N51" s="111">
        <v>0.90888830288841316</v>
      </c>
      <c r="O51" s="111">
        <v>1.3707361878163189</v>
      </c>
      <c r="P51" s="99">
        <v>1.0739711580579328</v>
      </c>
    </row>
    <row r="52" spans="1:16" ht="16" hidden="1">
      <c r="A52" s="110" t="s">
        <v>288</v>
      </c>
      <c r="B52" s="19">
        <v>32</v>
      </c>
      <c r="C52" s="111">
        <v>1.3695349346617718</v>
      </c>
      <c r="D52" s="24">
        <v>0.16419934589732491</v>
      </c>
      <c r="E52" s="24">
        <v>0.17220642195530883</v>
      </c>
      <c r="F52" s="111">
        <f t="shared" si="0"/>
        <v>1.2193701044888992</v>
      </c>
      <c r="G52" s="24">
        <v>9.9159516938783748E-2</v>
      </c>
      <c r="H52" s="111">
        <f t="shared" si="1"/>
        <v>1.3535915929813263</v>
      </c>
      <c r="I52" s="112">
        <v>0.47847555085020022</v>
      </c>
      <c r="J52" s="24">
        <v>0.32313883781178943</v>
      </c>
      <c r="K52" s="113">
        <v>0.75827618272845021</v>
      </c>
      <c r="L52" s="111">
        <v>0.66405583898276987</v>
      </c>
      <c r="M52" s="21">
        <v>1.33</v>
      </c>
      <c r="N52" s="111">
        <v>1.5855573182596445</v>
      </c>
      <c r="O52" s="111">
        <v>1.3331558308257836</v>
      </c>
      <c r="P52" s="99">
        <v>1.253272116209905</v>
      </c>
    </row>
    <row r="53" spans="1:16" ht="16" hidden="1">
      <c r="A53" s="110" t="s">
        <v>289</v>
      </c>
      <c r="B53" s="19">
        <v>32</v>
      </c>
      <c r="C53" s="111">
        <v>0.87957632490356097</v>
      </c>
      <c r="D53" s="24">
        <v>0.79743087722415384</v>
      </c>
      <c r="E53" s="24">
        <v>6.8565768017194773E-2</v>
      </c>
      <c r="F53" s="111">
        <f t="shared" si="0"/>
        <v>0.5503980343737368</v>
      </c>
      <c r="G53" s="24">
        <v>1.7139534470041649E-2</v>
      </c>
      <c r="H53" s="111">
        <f t="shared" si="1"/>
        <v>0.55999610695192847</v>
      </c>
      <c r="I53" s="112">
        <v>0.58094084827793413</v>
      </c>
      <c r="J53" s="24">
        <v>0.46328064944317854</v>
      </c>
      <c r="K53" s="113">
        <v>0.17040748569280864</v>
      </c>
      <c r="L53" s="111">
        <v>0.62556238975986156</v>
      </c>
      <c r="M53" s="21">
        <v>0.8</v>
      </c>
      <c r="N53" s="111">
        <v>0.96358199839482284</v>
      </c>
      <c r="O53" s="111">
        <v>0.72307947581048349</v>
      </c>
      <c r="P53" s="99">
        <v>0.73444399418341921</v>
      </c>
    </row>
    <row r="54" spans="1:16" ht="16" hidden="1">
      <c r="A54" s="110" t="s">
        <v>290</v>
      </c>
      <c r="B54" s="19">
        <v>68</v>
      </c>
      <c r="C54" s="111">
        <v>1.3434280675321946</v>
      </c>
      <c r="D54" s="24">
        <v>0.48669527885885355</v>
      </c>
      <c r="E54" s="24">
        <v>8.6279900545970845E-2</v>
      </c>
      <c r="F54" s="111">
        <f t="shared" si="0"/>
        <v>0.98418091417736064</v>
      </c>
      <c r="G54" s="24">
        <v>6.1066097765407841E-2</v>
      </c>
      <c r="H54" s="111">
        <f t="shared" si="1"/>
        <v>1.0481897733536769</v>
      </c>
      <c r="I54" s="112">
        <v>0.45543221641404846</v>
      </c>
      <c r="J54" s="24">
        <v>0.40799721064073169</v>
      </c>
      <c r="K54" s="113">
        <v>1.0449059380373686</v>
      </c>
      <c r="L54" s="111">
        <v>0.91444462364251522</v>
      </c>
      <c r="M54" s="21">
        <v>1.19</v>
      </c>
      <c r="N54" s="111">
        <v>1.437433727843527</v>
      </c>
      <c r="O54" s="111">
        <v>1.0609649277632753</v>
      </c>
      <c r="P54" s="99">
        <v>1.130206610520599</v>
      </c>
    </row>
    <row r="55" spans="1:16" ht="16" hidden="1">
      <c r="A55" s="110" t="s">
        <v>291</v>
      </c>
      <c r="B55" s="19">
        <v>93</v>
      </c>
      <c r="C55" s="111">
        <v>0.84344417808245642</v>
      </c>
      <c r="D55" s="24">
        <v>0.16555495582133145</v>
      </c>
      <c r="E55" s="24">
        <v>8.2102788721363285E-2</v>
      </c>
      <c r="F55" s="111">
        <f t="shared" si="0"/>
        <v>0.75028422436839304</v>
      </c>
      <c r="G55" s="24">
        <v>2.9286220403041876E-2</v>
      </c>
      <c r="H55" s="111">
        <f t="shared" si="1"/>
        <v>0.77292013375962598</v>
      </c>
      <c r="I55" s="112">
        <v>0.56650736619033482</v>
      </c>
      <c r="J55" s="24">
        <v>0.51118105127415381</v>
      </c>
      <c r="K55" s="113">
        <v>0.11514130976313657</v>
      </c>
      <c r="L55" s="111">
        <v>0.93705724489488984</v>
      </c>
      <c r="M55" s="21">
        <v>0.68</v>
      </c>
      <c r="N55" s="111">
        <v>0.92007174691688975</v>
      </c>
      <c r="O55" s="111">
        <v>1.0578798468783357</v>
      </c>
      <c r="P55" s="99">
        <v>0.87358579448994822</v>
      </c>
    </row>
    <row r="56" spans="1:16" ht="16" hidden="1">
      <c r="A56" s="110" t="s">
        <v>292</v>
      </c>
      <c r="B56" s="19">
        <v>18</v>
      </c>
      <c r="C56" s="111">
        <v>0.93074336988492989</v>
      </c>
      <c r="D56" s="24">
        <v>0.35666488475671798</v>
      </c>
      <c r="E56" s="24">
        <v>0.15792605530081147</v>
      </c>
      <c r="F56" s="111">
        <f t="shared" si="0"/>
        <v>0.73431507001769347</v>
      </c>
      <c r="G56" s="24">
        <v>4.9285712509199921E-2</v>
      </c>
      <c r="H56" s="111">
        <f t="shared" si="1"/>
        <v>0.77238249143783833</v>
      </c>
      <c r="I56" s="112">
        <v>0.44331443196911258</v>
      </c>
      <c r="J56" s="24">
        <v>0.33828737962659511</v>
      </c>
      <c r="K56" s="113">
        <v>0.45184291892795764</v>
      </c>
      <c r="L56" s="111">
        <v>1.0315158970762186</v>
      </c>
      <c r="M56" s="21">
        <v>0.97</v>
      </c>
      <c r="N56" s="111">
        <v>1.2038667851126352</v>
      </c>
      <c r="O56" s="111">
        <v>1.3334436182933442</v>
      </c>
      <c r="P56" s="99">
        <v>1.0622417583840074</v>
      </c>
    </row>
    <row r="57" spans="1:16" ht="16" hidden="1">
      <c r="A57" s="110" t="s">
        <v>293</v>
      </c>
      <c r="B57" s="19">
        <v>21</v>
      </c>
      <c r="C57" s="111">
        <v>1.0331486323510635</v>
      </c>
      <c r="D57" s="24">
        <v>0.25932576537877627</v>
      </c>
      <c r="E57" s="24">
        <v>0.13691324211870914</v>
      </c>
      <c r="F57" s="111">
        <f t="shared" si="0"/>
        <v>0.86492552669642064</v>
      </c>
      <c r="G57" s="24">
        <v>3.3189914969550587E-2</v>
      </c>
      <c r="H57" s="111">
        <f t="shared" si="1"/>
        <v>0.8946178159376359</v>
      </c>
      <c r="I57" s="112">
        <v>0.41001101216523089</v>
      </c>
      <c r="J57" s="24">
        <v>0.40381703602170393</v>
      </c>
      <c r="K57" s="113">
        <v>0.48446761662252213</v>
      </c>
      <c r="L57" s="111">
        <v>0.59269928391842142</v>
      </c>
      <c r="M57" s="21">
        <v>0.56000000000000005</v>
      </c>
      <c r="N57" s="111">
        <v>0.81090913333958792</v>
      </c>
      <c r="O57" s="111">
        <v>1.0269385936275734</v>
      </c>
      <c r="P57" s="99">
        <v>0.77703296536464372</v>
      </c>
    </row>
    <row r="58" spans="1:16" ht="16" hidden="1">
      <c r="A58" s="110" t="s">
        <v>294</v>
      </c>
      <c r="B58" s="19">
        <v>23</v>
      </c>
      <c r="C58" s="111">
        <v>0.76576086532748944</v>
      </c>
      <c r="D58" s="24">
        <v>0.92246249753432619</v>
      </c>
      <c r="E58" s="24">
        <v>0.10180425412245848</v>
      </c>
      <c r="F58" s="111">
        <f t="shared" si="0"/>
        <v>0.45261830575801743</v>
      </c>
      <c r="G58" s="24">
        <v>0.16155573488642877</v>
      </c>
      <c r="H58" s="111">
        <f t="shared" si="1"/>
        <v>0.53983111888386293</v>
      </c>
      <c r="I58" s="112">
        <v>0.31323609058654894</v>
      </c>
      <c r="J58" s="24">
        <v>0.30849684925039994</v>
      </c>
      <c r="K58" s="113">
        <v>0.23087167687135648</v>
      </c>
      <c r="L58" s="111">
        <v>0.73248057437703429</v>
      </c>
      <c r="M58" s="21">
        <v>0.64</v>
      </c>
      <c r="N58" s="111">
        <v>0.88298820325433758</v>
      </c>
      <c r="O58" s="111">
        <v>0.66746467102712326</v>
      </c>
      <c r="P58" s="99">
        <v>0.69255291350847159</v>
      </c>
    </row>
    <row r="59" spans="1:16" ht="16" hidden="1">
      <c r="A59" s="110" t="s">
        <v>295</v>
      </c>
      <c r="B59" s="19">
        <v>50</v>
      </c>
      <c r="C59" s="111">
        <v>0.73875776033737084</v>
      </c>
      <c r="D59" s="24">
        <v>0.19382197586143393</v>
      </c>
      <c r="E59" s="24">
        <v>0.12420210692099873</v>
      </c>
      <c r="F59" s="111">
        <f t="shared" si="0"/>
        <v>0.6449968390155858</v>
      </c>
      <c r="G59" s="24">
        <v>4.4742946445294036E-2</v>
      </c>
      <c r="H59" s="111">
        <f t="shared" si="1"/>
        <v>0.67520761727476519</v>
      </c>
      <c r="I59" s="112">
        <v>0.29542222759979686</v>
      </c>
      <c r="J59" s="24">
        <v>0.27404177841998512</v>
      </c>
      <c r="K59" s="113">
        <v>0.29797061941064973</v>
      </c>
      <c r="L59" s="111">
        <v>0.58907152474849622</v>
      </c>
      <c r="M59" s="21">
        <v>0.57999999999999996</v>
      </c>
      <c r="N59" s="111">
        <v>0.78477726596517938</v>
      </c>
      <c r="O59" s="111">
        <v>0.72953854749756686</v>
      </c>
      <c r="P59" s="99">
        <v>0.67171899109720157</v>
      </c>
    </row>
    <row r="60" spans="1:16" ht="16" hidden="1">
      <c r="A60" s="110" t="s">
        <v>296</v>
      </c>
      <c r="B60" s="19">
        <v>334</v>
      </c>
      <c r="C60" s="111">
        <v>0.45700546948270204</v>
      </c>
      <c r="D60" s="24">
        <v>0.40336249835722277</v>
      </c>
      <c r="E60" s="24">
        <v>0.11332978400021217</v>
      </c>
      <c r="F60" s="111">
        <f t="shared" si="0"/>
        <v>0.35086203056282117</v>
      </c>
      <c r="G60" s="24">
        <v>0.10332871545005516</v>
      </c>
      <c r="H60" s="111">
        <f t="shared" si="1"/>
        <v>0.39129392968006665</v>
      </c>
      <c r="I60" s="112">
        <v>0.23127931567629015</v>
      </c>
      <c r="J60" s="24">
        <v>0.15150889761067693</v>
      </c>
      <c r="K60" s="113">
        <v>0.23339172039588926</v>
      </c>
      <c r="L60" s="111">
        <v>0.86018284014412283</v>
      </c>
      <c r="M60" s="21">
        <v>0.78</v>
      </c>
      <c r="N60" s="111">
        <v>0.96511760490949738</v>
      </c>
      <c r="O60" s="111">
        <v>0.53775308643054576</v>
      </c>
      <c r="P60" s="99">
        <v>0.70686949223284656</v>
      </c>
    </row>
    <row r="61" spans="1:16" ht="16" hidden="1">
      <c r="A61" s="110" t="s">
        <v>297</v>
      </c>
      <c r="B61" s="19">
        <v>103</v>
      </c>
      <c r="C61" s="111">
        <v>1.0260564286029479</v>
      </c>
      <c r="D61" s="24">
        <v>0.16864732833328341</v>
      </c>
      <c r="E61" s="24">
        <v>0.11725297212399345</v>
      </c>
      <c r="F61" s="111">
        <f t="shared" si="0"/>
        <v>0.91084743835465243</v>
      </c>
      <c r="G61" s="24">
        <v>2.8542921651902062E-2</v>
      </c>
      <c r="H61" s="111">
        <f t="shared" si="1"/>
        <v>0.9376095544061418</v>
      </c>
      <c r="I61" s="112">
        <v>0.43145089570820533</v>
      </c>
      <c r="J61" s="24">
        <v>0.33444214078623241</v>
      </c>
      <c r="K61" s="113">
        <v>0.18506939720453053</v>
      </c>
      <c r="L61" s="111">
        <v>1.0985210616277283</v>
      </c>
      <c r="M61" s="21">
        <v>0.96</v>
      </c>
      <c r="N61" s="111">
        <v>1.1782642967693542</v>
      </c>
      <c r="O61" s="111">
        <v>1.0938250803149925</v>
      </c>
      <c r="P61" s="99">
        <v>1.0536439986236434</v>
      </c>
    </row>
    <row r="62" spans="1:16" ht="16" hidden="1">
      <c r="A62" s="110" t="s">
        <v>298</v>
      </c>
      <c r="B62" s="19">
        <v>68</v>
      </c>
      <c r="C62" s="111">
        <v>0.96247840953991504</v>
      </c>
      <c r="D62" s="24">
        <v>0.15820303678285066</v>
      </c>
      <c r="E62" s="24">
        <v>1.9958935953063753E-2</v>
      </c>
      <c r="F62" s="111">
        <f t="shared" si="0"/>
        <v>0.86039105164646867</v>
      </c>
      <c r="G62" s="24">
        <v>5.6717379502100304E-2</v>
      </c>
      <c r="H62" s="111">
        <f t="shared" si="1"/>
        <v>0.91212435483261867</v>
      </c>
      <c r="I62" s="112">
        <v>0.64480369565834494</v>
      </c>
      <c r="J62" s="24">
        <v>0.605593652790272</v>
      </c>
      <c r="K62" s="113">
        <v>0.54712047193395053</v>
      </c>
      <c r="L62" s="111">
        <v>1.0865722025981523</v>
      </c>
      <c r="M62" s="21">
        <v>0.82</v>
      </c>
      <c r="N62" s="111">
        <v>1.1279972137776122</v>
      </c>
      <c r="O62" s="111">
        <v>1.2191906966167014</v>
      </c>
      <c r="P62" s="99">
        <v>1.033176893565017</v>
      </c>
    </row>
    <row r="63" spans="1:16" ht="16" hidden="1">
      <c r="A63" s="110" t="s">
        <v>299</v>
      </c>
      <c r="B63" s="19">
        <v>17</v>
      </c>
      <c r="C63" s="111">
        <v>1.1394185236914496</v>
      </c>
      <c r="D63" s="24">
        <v>0.52571223278711254</v>
      </c>
      <c r="E63" s="24">
        <v>0.17122271667535216</v>
      </c>
      <c r="F63" s="111">
        <f t="shared" si="0"/>
        <v>0.81720681081834057</v>
      </c>
      <c r="G63" s="24">
        <v>6.7576198239810314E-2</v>
      </c>
      <c r="H63" s="111">
        <f t="shared" si="1"/>
        <v>0.87643280799530487</v>
      </c>
      <c r="I63" s="112">
        <v>0.43862141616358896</v>
      </c>
      <c r="J63" s="24">
        <v>0.30280062793938978</v>
      </c>
      <c r="K63" s="113">
        <v>0.17632644089241517</v>
      </c>
      <c r="L63" s="111">
        <v>1.2442326298508288</v>
      </c>
      <c r="M63" s="21">
        <v>0.83</v>
      </c>
      <c r="N63" s="111">
        <v>1.1114678240357789</v>
      </c>
      <c r="O63" s="111">
        <v>0.8448370751926576</v>
      </c>
      <c r="P63" s="99">
        <v>0.98139406741491408</v>
      </c>
    </row>
    <row r="64" spans="1:16" ht="16" hidden="1">
      <c r="A64" s="110" t="s">
        <v>300</v>
      </c>
      <c r="B64" s="19">
        <v>4</v>
      </c>
      <c r="C64" s="111">
        <v>0.67065158444684592</v>
      </c>
      <c r="D64" s="24">
        <v>0.12502672386707742</v>
      </c>
      <c r="E64" s="24">
        <v>0.21180044461142553</v>
      </c>
      <c r="F64" s="111">
        <f t="shared" si="0"/>
        <v>0.61315592687883902</v>
      </c>
      <c r="G64" s="24">
        <v>4.7961068398579165E-2</v>
      </c>
      <c r="H64" s="111">
        <f t="shared" si="1"/>
        <v>0.64404501383935209</v>
      </c>
      <c r="I64" s="112">
        <v>0.15591222298920951</v>
      </c>
      <c r="J64" s="24">
        <v>0.26444809223182186</v>
      </c>
      <c r="K64" s="113">
        <v>1.0782009509662787</v>
      </c>
      <c r="L64" s="111">
        <v>1.1174661727895663</v>
      </c>
      <c r="M64" s="21">
        <v>0.98</v>
      </c>
      <c r="N64" s="111">
        <v>1.2509261963653029</v>
      </c>
      <c r="O64" s="111">
        <v>0.94626836990683305</v>
      </c>
      <c r="P64" s="99">
        <v>0.98774115058021084</v>
      </c>
    </row>
    <row r="65" spans="1:16" ht="16" hidden="1">
      <c r="A65" s="110" t="s">
        <v>301</v>
      </c>
      <c r="B65" s="19">
        <v>166</v>
      </c>
      <c r="C65" s="111">
        <v>0.92989873869595874</v>
      </c>
      <c r="D65" s="24">
        <v>0.23280615433361526</v>
      </c>
      <c r="E65" s="24">
        <v>5.6130439210446151E-2</v>
      </c>
      <c r="F65" s="111">
        <f t="shared" si="0"/>
        <v>0.79166957649152359</v>
      </c>
      <c r="G65" s="24">
        <v>3.6218867663131787E-2</v>
      </c>
      <c r="H65" s="111">
        <f t="shared" si="1"/>
        <v>0.82142049675943762</v>
      </c>
      <c r="I65" s="112">
        <v>0.50280651518735719</v>
      </c>
      <c r="J65" s="24">
        <v>0.46310335310672146</v>
      </c>
      <c r="K65" s="113">
        <v>2.0845505844834329</v>
      </c>
      <c r="L65" s="111">
        <v>1.0767106396403761</v>
      </c>
      <c r="M65" s="21">
        <v>0.81</v>
      </c>
      <c r="N65" s="111">
        <v>1.1279889221313977</v>
      </c>
      <c r="O65" s="111">
        <v>1.1361280842130776</v>
      </c>
      <c r="P65" s="99">
        <v>0.99444962854885799</v>
      </c>
    </row>
    <row r="66" spans="1:16" ht="16" hidden="1">
      <c r="A66" s="110" t="s">
        <v>302</v>
      </c>
      <c r="B66" s="19">
        <v>24</v>
      </c>
      <c r="C66" s="111">
        <v>0.79075215100878704</v>
      </c>
      <c r="D66" s="24">
        <v>0.70218841844397017</v>
      </c>
      <c r="E66" s="24">
        <v>9.250754845249437E-2</v>
      </c>
      <c r="F66" s="111">
        <f t="shared" si="0"/>
        <v>0.51796852596856913</v>
      </c>
      <c r="G66" s="24">
        <v>2.1078417337070002E-2</v>
      </c>
      <c r="H66" s="111">
        <f t="shared" si="1"/>
        <v>0.52912157126984105</v>
      </c>
      <c r="I66" s="112">
        <v>0.35814240603030073</v>
      </c>
      <c r="J66" s="24">
        <v>0.32547547332498222</v>
      </c>
      <c r="K66" s="113">
        <v>0.38820543538784491</v>
      </c>
      <c r="L66" s="111">
        <v>0.6175192303191579</v>
      </c>
      <c r="M66" s="21">
        <v>0.6</v>
      </c>
      <c r="N66" s="111">
        <v>0.86451087132141691</v>
      </c>
      <c r="O66" s="111">
        <v>0.65648991865828199</v>
      </c>
      <c r="P66" s="99">
        <v>0.65352831831373959</v>
      </c>
    </row>
    <row r="67" spans="1:16" ht="16" hidden="1">
      <c r="A67" s="110" t="s">
        <v>303</v>
      </c>
      <c r="B67" s="19">
        <v>100</v>
      </c>
      <c r="C67" s="111">
        <v>0.9795500315745983</v>
      </c>
      <c r="D67" s="24">
        <v>0.32140012259684714</v>
      </c>
      <c r="E67" s="24">
        <v>0.10878176070621855</v>
      </c>
      <c r="F67" s="111">
        <f t="shared" si="0"/>
        <v>0.78929129285776589</v>
      </c>
      <c r="G67" s="24">
        <v>7.4581211933809899E-2</v>
      </c>
      <c r="H67" s="111">
        <f t="shared" si="1"/>
        <v>0.85290173814940118</v>
      </c>
      <c r="I67" s="112">
        <v>0.47764888389529203</v>
      </c>
      <c r="J67" s="24">
        <v>0.43728736432048126</v>
      </c>
      <c r="K67" s="113">
        <v>0.80500687824938699</v>
      </c>
      <c r="L67" s="111">
        <v>1.2186547171181339</v>
      </c>
      <c r="M67" s="21">
        <v>0.83</v>
      </c>
      <c r="N67" s="111">
        <v>1.1791731857829815</v>
      </c>
      <c r="O67" s="111">
        <v>1.1869387038702228</v>
      </c>
      <c r="P67" s="99">
        <v>1.0535336689841479</v>
      </c>
    </row>
    <row r="68" spans="1:16" ht="16" hidden="1">
      <c r="A68" s="110" t="s">
        <v>304</v>
      </c>
      <c r="B68" s="19">
        <v>22</v>
      </c>
      <c r="C68" s="111">
        <v>1.1327220379604754</v>
      </c>
      <c r="D68" s="24">
        <v>0.61260178445700753</v>
      </c>
      <c r="E68" s="24">
        <v>0.18119104439939457</v>
      </c>
      <c r="F68" s="111">
        <f t="shared" si="0"/>
        <v>0.77612867808714359</v>
      </c>
      <c r="G68" s="24">
        <v>3.8094538322854275E-2</v>
      </c>
      <c r="H68" s="111">
        <f t="shared" si="1"/>
        <v>0.80686586053260567</v>
      </c>
      <c r="I68" s="112">
        <v>0.28511922568861303</v>
      </c>
      <c r="J68" s="24">
        <v>0.26242708965746769</v>
      </c>
      <c r="K68" s="113">
        <v>0.12441150567095011</v>
      </c>
      <c r="L68" s="111">
        <v>0.67817351673939641</v>
      </c>
      <c r="M68" s="21">
        <v>0.68</v>
      </c>
      <c r="N68" s="111">
        <v>0.77829582130724728</v>
      </c>
      <c r="O68" s="111">
        <v>0.67049972190789686</v>
      </c>
      <c r="P68" s="99">
        <v>0.72276698409742923</v>
      </c>
    </row>
    <row r="69" spans="1:16" ht="16" hidden="1">
      <c r="A69" s="110" t="s">
        <v>305</v>
      </c>
      <c r="B69" s="19">
        <v>7</v>
      </c>
      <c r="C69" s="111">
        <v>1.9382231536190784</v>
      </c>
      <c r="D69" s="24">
        <v>0.37369581676435853</v>
      </c>
      <c r="E69" s="24">
        <v>0.12914141300012244</v>
      </c>
      <c r="F69" s="111">
        <f t="shared" si="0"/>
        <v>1.5139152943058258</v>
      </c>
      <c r="G69" s="24">
        <v>4.8027183169330995E-2</v>
      </c>
      <c r="H69" s="111">
        <f t="shared" si="1"/>
        <v>1.5902925666995296</v>
      </c>
      <c r="I69" s="112">
        <v>0.44887720297805234</v>
      </c>
      <c r="J69" s="24">
        <v>0.43036486711913036</v>
      </c>
      <c r="K69" s="113">
        <v>0.8295599601554503</v>
      </c>
      <c r="L69" s="111">
        <v>1.2543747470505289</v>
      </c>
      <c r="M69" s="21">
        <v>0.96</v>
      </c>
      <c r="N69" s="111">
        <v>0.9984958405826988</v>
      </c>
      <c r="O69" s="111">
        <v>1.1258403034857074</v>
      </c>
      <c r="P69" s="99">
        <v>1.1858006915636927</v>
      </c>
    </row>
    <row r="70" spans="1:16" ht="16" hidden="1">
      <c r="A70" s="110" t="s">
        <v>306</v>
      </c>
      <c r="B70" s="19">
        <v>50</v>
      </c>
      <c r="C70" s="111">
        <v>0.65062741829817849</v>
      </c>
      <c r="D70" s="24">
        <v>0.92923927666198769</v>
      </c>
      <c r="E70" s="24">
        <v>0.13685656820612682</v>
      </c>
      <c r="F70" s="111">
        <f t="shared" si="0"/>
        <v>0.38341453466077507</v>
      </c>
      <c r="G70" s="24">
        <v>1.3105732241222209E-2</v>
      </c>
      <c r="H70" s="111">
        <f t="shared" si="1"/>
        <v>0.3885061927976376</v>
      </c>
      <c r="I70" s="112">
        <v>0.2731850789071314</v>
      </c>
      <c r="J70" s="24">
        <v>0.20394370124554315</v>
      </c>
      <c r="K70" s="113">
        <v>5.8916435470520313E-2</v>
      </c>
      <c r="L70" s="111">
        <v>0.37843539998307546</v>
      </c>
      <c r="M70" s="21">
        <v>0.43</v>
      </c>
      <c r="N70" s="111">
        <v>0.55746416310695091</v>
      </c>
      <c r="O70" s="111">
        <v>0.46402639019456771</v>
      </c>
      <c r="P70" s="99">
        <v>0.4436864292164463</v>
      </c>
    </row>
    <row r="71" spans="1:16" ht="16" hidden="1">
      <c r="A71" s="110" t="s">
        <v>307</v>
      </c>
      <c r="B71" s="19">
        <v>61</v>
      </c>
      <c r="C71" s="111">
        <v>0.86895093981506022</v>
      </c>
      <c r="D71" s="24">
        <v>0.15206031334224029</v>
      </c>
      <c r="E71" s="24">
        <v>1.9845620463018968E-2</v>
      </c>
      <c r="F71" s="111">
        <f t="shared" si="0"/>
        <v>0.77999610115459062</v>
      </c>
      <c r="G71" s="24">
        <v>6.0340662804998974E-2</v>
      </c>
      <c r="H71" s="111">
        <f t="shared" si="1"/>
        <v>0.83008391475465471</v>
      </c>
      <c r="I71" s="112">
        <v>0.62777103993822181</v>
      </c>
      <c r="J71" s="24">
        <v>0.63609473927989657</v>
      </c>
      <c r="K71" s="113">
        <v>0.56837157032859364</v>
      </c>
      <c r="L71" s="111">
        <v>1.3320479668619645</v>
      </c>
      <c r="M71" s="21">
        <v>0.75</v>
      </c>
      <c r="N71" s="111">
        <v>0.9873774941222514</v>
      </c>
      <c r="O71" s="111">
        <v>1.1872086171220402</v>
      </c>
      <c r="P71" s="99">
        <v>1.0173435985721822</v>
      </c>
    </row>
    <row r="72" spans="1:16" ht="16" hidden="1">
      <c r="A72" s="110" t="s">
        <v>308</v>
      </c>
      <c r="B72" s="19">
        <v>21</v>
      </c>
      <c r="C72" s="111">
        <v>0.96111364761823381</v>
      </c>
      <c r="D72" s="24">
        <v>0.32475586744352986</v>
      </c>
      <c r="E72" s="24">
        <v>0.10006910172606927</v>
      </c>
      <c r="F72" s="111">
        <f t="shared" si="0"/>
        <v>0.77286846985708924</v>
      </c>
      <c r="G72" s="24">
        <v>6.0894288321713202E-2</v>
      </c>
      <c r="H72" s="111">
        <f t="shared" si="1"/>
        <v>0.82298346208105466</v>
      </c>
      <c r="I72" s="112">
        <v>0.37611075608800432</v>
      </c>
      <c r="J72" s="24">
        <v>0.38203317252748159</v>
      </c>
      <c r="K72" s="113">
        <v>0.12466425491123813</v>
      </c>
      <c r="L72" s="111">
        <v>0.75678423138498629</v>
      </c>
      <c r="M72" s="21">
        <v>1.1000000000000001</v>
      </c>
      <c r="N72" s="111">
        <v>1.4642640113348089</v>
      </c>
      <c r="O72" s="111">
        <v>0.91415552689954038</v>
      </c>
      <c r="P72" s="99">
        <v>1.0116374463400779</v>
      </c>
    </row>
    <row r="73" spans="1:16" ht="16" hidden="1">
      <c r="A73" s="110" t="s">
        <v>309</v>
      </c>
      <c r="B73" s="19">
        <v>193</v>
      </c>
      <c r="C73" s="111">
        <v>1.0315825268097811</v>
      </c>
      <c r="D73" s="24">
        <v>0.7903984909157683</v>
      </c>
      <c r="E73" s="24">
        <v>1.9522759465031115E-2</v>
      </c>
      <c r="F73" s="111">
        <f t="shared" si="0"/>
        <v>0.64765398030706189</v>
      </c>
      <c r="G73" s="24">
        <v>1.8800556348440762E-2</v>
      </c>
      <c r="H73" s="111">
        <f t="shared" si="1"/>
        <v>0.66006354212432161</v>
      </c>
      <c r="I73" s="112">
        <v>0.27852022179826058</v>
      </c>
      <c r="J73" s="24">
        <v>0.23718238142541787</v>
      </c>
      <c r="K73" s="113">
        <v>0.22417628532775766</v>
      </c>
      <c r="L73" s="111">
        <v>0.42562033756937268</v>
      </c>
      <c r="M73" s="21">
        <v>0.79</v>
      </c>
      <c r="N73" s="111">
        <v>0.98822165167975773</v>
      </c>
      <c r="O73" s="111">
        <v>0.68555683323023653</v>
      </c>
      <c r="P73" s="99">
        <v>0.70989247292073765</v>
      </c>
    </row>
    <row r="74" spans="1:16" ht="16" hidden="1">
      <c r="A74" s="110" t="s">
        <v>310</v>
      </c>
      <c r="B74" s="19">
        <v>17</v>
      </c>
      <c r="C74" s="111">
        <v>0.66859406140799615</v>
      </c>
      <c r="D74" s="24">
        <v>0.94097524408908917</v>
      </c>
      <c r="E74" s="24">
        <v>1.4520067954979827E-2</v>
      </c>
      <c r="F74" s="111">
        <f t="shared" si="0"/>
        <v>0.39196912740588868</v>
      </c>
      <c r="G74" s="24">
        <v>9.1478600038916627E-2</v>
      </c>
      <c r="H74" s="111">
        <f t="shared" si="1"/>
        <v>0.4314363177605709</v>
      </c>
      <c r="I74" s="112">
        <v>0.58881765512360928</v>
      </c>
      <c r="J74" s="24">
        <v>0.34240037014717128</v>
      </c>
      <c r="K74" s="113">
        <v>0.76284428749290856</v>
      </c>
      <c r="L74" s="111">
        <v>0.89107405238567561</v>
      </c>
      <c r="M74" s="21">
        <v>0.56000000000000005</v>
      </c>
      <c r="N74" s="111">
        <v>0.74244118019660266</v>
      </c>
      <c r="O74" s="111">
        <v>0.88380482744065236</v>
      </c>
      <c r="P74" s="99">
        <v>0.70175127555670025</v>
      </c>
    </row>
    <row r="75" spans="1:16" ht="16" hidden="1">
      <c r="A75" s="110" t="s">
        <v>311</v>
      </c>
      <c r="B75" s="19">
        <v>11</v>
      </c>
      <c r="C75" s="111">
        <v>0.56357223766363951</v>
      </c>
      <c r="D75" s="24">
        <v>0.31876485346335315</v>
      </c>
      <c r="E75" s="24">
        <v>0.13211625694171472</v>
      </c>
      <c r="F75" s="111">
        <f t="shared" si="0"/>
        <v>0.45483353000656723</v>
      </c>
      <c r="G75" s="24">
        <v>0.11256626431092072</v>
      </c>
      <c r="H75" s="111">
        <f t="shared" si="1"/>
        <v>0.51252675181814633</v>
      </c>
      <c r="I75" s="112">
        <v>0.34765379629256593</v>
      </c>
      <c r="J75" s="24">
        <v>0.35907096541478567</v>
      </c>
      <c r="K75" s="113">
        <v>0.98730581578227639</v>
      </c>
      <c r="L75" s="111">
        <v>1.5017204419375949</v>
      </c>
      <c r="M75" s="21">
        <v>0.76</v>
      </c>
      <c r="N75" s="111">
        <v>0.83326634114682563</v>
      </c>
      <c r="O75" s="111">
        <v>0.6649391588559308</v>
      </c>
      <c r="P75" s="99">
        <v>0.85449053875169945</v>
      </c>
    </row>
    <row r="76" spans="1:16" ht="16" hidden="1">
      <c r="A76" s="110" t="s">
        <v>312</v>
      </c>
      <c r="B76" s="19">
        <v>60</v>
      </c>
      <c r="C76" s="111">
        <v>1.0801188936162607</v>
      </c>
      <c r="D76" s="24">
        <v>0.44565385552472297</v>
      </c>
      <c r="E76" s="24">
        <v>4.2930739946028362E-2</v>
      </c>
      <c r="F76" s="111">
        <f t="shared" ref="F76:F106" si="2">IF($F$8="Effective",C76/(1+(1-E76)*D76),C76/(1+(1-$F$9)*D76))</f>
        <v>0.80953844628084592</v>
      </c>
      <c r="G76" s="24">
        <v>8.3035894192710985E-2</v>
      </c>
      <c r="H76" s="111">
        <f t="shared" ref="H76:H106" si="3">F76/(1-G76)</f>
        <v>0.88284638532075765</v>
      </c>
      <c r="I76" s="112">
        <v>0.48213371060908972</v>
      </c>
      <c r="J76" s="24">
        <v>0.44192228893495522</v>
      </c>
      <c r="K76" s="113">
        <v>0.99420303031968105</v>
      </c>
      <c r="L76" s="111">
        <v>0.67504760776561479</v>
      </c>
      <c r="M76" s="21">
        <v>0.75</v>
      </c>
      <c r="N76" s="111">
        <v>0.8711247503573315</v>
      </c>
      <c r="O76" s="111">
        <v>0.80502060474331827</v>
      </c>
      <c r="P76" s="99">
        <v>0.79680786963740435</v>
      </c>
    </row>
    <row r="77" spans="1:16" ht="16" hidden="1">
      <c r="A77" s="110" t="s">
        <v>313</v>
      </c>
      <c r="B77" s="19">
        <v>55</v>
      </c>
      <c r="C77" s="111">
        <v>1.17128693009822</v>
      </c>
      <c r="D77" s="24">
        <v>0.58574650156179286</v>
      </c>
      <c r="E77" s="24">
        <v>8.2618049083441364E-2</v>
      </c>
      <c r="F77" s="111">
        <f t="shared" si="2"/>
        <v>0.8137837094635364</v>
      </c>
      <c r="G77" s="24">
        <v>4.1341978873118676E-2</v>
      </c>
      <c r="H77" s="111">
        <f t="shared" si="3"/>
        <v>0.84887800605574826</v>
      </c>
      <c r="I77" s="112">
        <v>0.50839819575892897</v>
      </c>
      <c r="J77" s="24">
        <v>0.44295221149390968</v>
      </c>
      <c r="K77" s="113">
        <v>0.24034316611163559</v>
      </c>
      <c r="L77" s="111">
        <v>0.75402861704359259</v>
      </c>
      <c r="M77" s="21">
        <v>0.77</v>
      </c>
      <c r="N77" s="111">
        <v>1.0736325867418679</v>
      </c>
      <c r="O77" s="111">
        <v>1.0754929270701692</v>
      </c>
      <c r="P77" s="99">
        <v>0.9044064273822755</v>
      </c>
    </row>
    <row r="78" spans="1:16" ht="16" hidden="1">
      <c r="A78" s="110" t="s">
        <v>314</v>
      </c>
      <c r="B78" s="19">
        <v>1</v>
      </c>
      <c r="C78" s="111">
        <v>0.65514402605202471</v>
      </c>
      <c r="D78" s="24">
        <v>0.42536351707237335</v>
      </c>
      <c r="E78" s="24">
        <v>0.22953020134228189</v>
      </c>
      <c r="F78" s="111">
        <f t="shared" si="2"/>
        <v>0.49668899325535054</v>
      </c>
      <c r="G78" s="24">
        <v>0.18555670202116639</v>
      </c>
      <c r="H78" s="111">
        <f t="shared" si="3"/>
        <v>0.60985091839783168</v>
      </c>
      <c r="I78" s="112">
        <v>0.17019306608141013</v>
      </c>
      <c r="J78" s="24">
        <v>0.17094029032718663</v>
      </c>
      <c r="K78" s="113">
        <v>0.21777953056436078</v>
      </c>
      <c r="L78" s="111">
        <v>0.76985429252100079</v>
      </c>
      <c r="M78" s="21">
        <v>1.1299999999999999</v>
      </c>
      <c r="N78" s="111">
        <v>1.2950268765575916</v>
      </c>
      <c r="O78" s="111">
        <v>0.83160738080596275</v>
      </c>
      <c r="P78" s="99">
        <v>0.92726789365647733</v>
      </c>
    </row>
    <row r="79" spans="1:16" ht="16" hidden="1">
      <c r="A79" s="110" t="s">
        <v>315</v>
      </c>
      <c r="B79" s="19">
        <v>64</v>
      </c>
      <c r="C79" s="111">
        <v>1.194577320424228</v>
      </c>
      <c r="D79" s="24">
        <v>0.25727029935042989</v>
      </c>
      <c r="E79" s="24">
        <v>0.11412279619274342</v>
      </c>
      <c r="F79" s="111">
        <f t="shared" si="2"/>
        <v>1.0013618275712217</v>
      </c>
      <c r="G79" s="24">
        <v>2.2420430168599959E-2</v>
      </c>
      <c r="H79" s="111">
        <f t="shared" si="3"/>
        <v>1.0243276951296387</v>
      </c>
      <c r="I79" s="112">
        <v>0.40284610297653012</v>
      </c>
      <c r="J79" s="24">
        <v>0.35372310643077254</v>
      </c>
      <c r="K79" s="113">
        <v>0.16638510624954381</v>
      </c>
      <c r="L79" s="111">
        <v>0.75189638132612358</v>
      </c>
      <c r="M79" s="21">
        <v>1.1100000000000001</v>
      </c>
      <c r="N79" s="111">
        <v>1.3321658941531931</v>
      </c>
      <c r="O79" s="111">
        <v>1.1660017105464549</v>
      </c>
      <c r="P79" s="99">
        <v>1.0768783362310821</v>
      </c>
    </row>
    <row r="80" spans="1:16" ht="16" hidden="1">
      <c r="A80" s="110" t="s">
        <v>316</v>
      </c>
      <c r="B80" s="19">
        <v>30</v>
      </c>
      <c r="C80" s="111">
        <v>1.4944959500823904</v>
      </c>
      <c r="D80" s="24">
        <v>0.57513175681769402</v>
      </c>
      <c r="E80" s="24">
        <v>0.13496183038859538</v>
      </c>
      <c r="F80" s="111">
        <f t="shared" si="2"/>
        <v>1.0441172212475893</v>
      </c>
      <c r="G80" s="24">
        <v>1.3834130989585689E-2</v>
      </c>
      <c r="H80" s="111">
        <f t="shared" si="3"/>
        <v>1.0587643053346871</v>
      </c>
      <c r="I80" s="112">
        <v>0.497412548478118</v>
      </c>
      <c r="J80" s="24">
        <v>0.46787574959813977</v>
      </c>
      <c r="K80" s="113">
        <v>0.32495654741584373</v>
      </c>
      <c r="L80" s="111">
        <v>0.86851869321114017</v>
      </c>
      <c r="M80" s="21">
        <v>0.99</v>
      </c>
      <c r="N80" s="111">
        <v>1.1214912603915739</v>
      </c>
      <c r="O80" s="111">
        <v>1.0827260845919955</v>
      </c>
      <c r="P80" s="99">
        <v>1.0243000687058794</v>
      </c>
    </row>
    <row r="81" spans="1:16" ht="16" hidden="1">
      <c r="A81" s="110" t="s">
        <v>317</v>
      </c>
      <c r="B81" s="19">
        <v>16</v>
      </c>
      <c r="C81" s="111">
        <v>1.9381785697071496</v>
      </c>
      <c r="D81" s="24">
        <v>0.19922820604113844</v>
      </c>
      <c r="E81" s="24">
        <v>0.12587728059564698</v>
      </c>
      <c r="F81" s="111">
        <f t="shared" si="2"/>
        <v>1.6862214185523963</v>
      </c>
      <c r="G81" s="24">
        <v>1.0522388016071801E-2</v>
      </c>
      <c r="H81" s="111">
        <f t="shared" si="3"/>
        <v>1.704153179546406</v>
      </c>
      <c r="I81" s="112">
        <v>0.40867290849107046</v>
      </c>
      <c r="J81" s="24">
        <v>0.45210582664645632</v>
      </c>
      <c r="K81" s="113">
        <v>0.35752154125319752</v>
      </c>
      <c r="L81" s="111">
        <v>1.1509711433254448</v>
      </c>
      <c r="M81" s="21">
        <v>1.43</v>
      </c>
      <c r="N81" s="111">
        <v>1.4189632481805372</v>
      </c>
      <c r="O81" s="111">
        <v>1.5670419621739333</v>
      </c>
      <c r="P81" s="99">
        <v>1.4542259066452643</v>
      </c>
    </row>
    <row r="82" spans="1:16" ht="16" hidden="1">
      <c r="A82" s="110" t="s">
        <v>318</v>
      </c>
      <c r="B82" s="19">
        <v>62</v>
      </c>
      <c r="C82" s="111">
        <v>1.106042693037566</v>
      </c>
      <c r="D82" s="24">
        <v>0.32290722274598049</v>
      </c>
      <c r="E82" s="24">
        <v>0.15762926330548485</v>
      </c>
      <c r="F82" s="111">
        <f t="shared" si="2"/>
        <v>0.8904042261878613</v>
      </c>
      <c r="G82" s="24">
        <v>2.0808089658035187E-2</v>
      </c>
      <c r="H82" s="111">
        <f t="shared" si="3"/>
        <v>0.90932555384051728</v>
      </c>
      <c r="I82" s="112">
        <v>0.43779976150526184</v>
      </c>
      <c r="J82" s="24">
        <v>0.37735750438183585</v>
      </c>
      <c r="K82" s="113">
        <v>0.36364139614021185</v>
      </c>
      <c r="L82" s="111">
        <v>0.89371496522206739</v>
      </c>
      <c r="M82" s="21">
        <v>0.75</v>
      </c>
      <c r="N82" s="111">
        <v>1.0645116152504079</v>
      </c>
      <c r="O82" s="111">
        <v>1.00607436454125</v>
      </c>
      <c r="P82" s="99">
        <v>0.92472529977084861</v>
      </c>
    </row>
    <row r="83" spans="1:16" ht="16" hidden="1">
      <c r="A83" s="110" t="s">
        <v>319</v>
      </c>
      <c r="B83" s="19">
        <v>26</v>
      </c>
      <c r="C83" s="111">
        <v>1.2466770513434235</v>
      </c>
      <c r="D83" s="24">
        <v>0.1342401822363487</v>
      </c>
      <c r="E83" s="24">
        <v>0.1457769908309445</v>
      </c>
      <c r="F83" s="111">
        <f t="shared" si="2"/>
        <v>1.1326424542436988</v>
      </c>
      <c r="G83" s="24">
        <v>3.2808190053683108E-2</v>
      </c>
      <c r="H83" s="111">
        <f t="shared" si="3"/>
        <v>1.1710629087177289</v>
      </c>
      <c r="I83" s="112">
        <v>0.41851033405292054</v>
      </c>
      <c r="J83" s="24">
        <v>0.38283198873816127</v>
      </c>
      <c r="K83" s="113">
        <v>0.2175693893621439</v>
      </c>
      <c r="L83" s="111">
        <v>0.94572679473428167</v>
      </c>
      <c r="M83" s="21">
        <v>0.81</v>
      </c>
      <c r="N83" s="111">
        <v>1.0383563104796276</v>
      </c>
      <c r="O83" s="111">
        <v>1.2201002971574864</v>
      </c>
      <c r="P83" s="99">
        <v>1.0370492622178249</v>
      </c>
    </row>
    <row r="84" spans="1:16" ht="16" hidden="1">
      <c r="A84" s="110" t="s">
        <v>320</v>
      </c>
      <c r="B84" s="19">
        <v>14</v>
      </c>
      <c r="C84" s="111">
        <v>0.49360805956180459</v>
      </c>
      <c r="D84" s="24">
        <v>0.55840213461368626</v>
      </c>
      <c r="E84" s="24">
        <v>0.16882275980646591</v>
      </c>
      <c r="F84" s="111">
        <f t="shared" si="2"/>
        <v>0.3479049214687408</v>
      </c>
      <c r="G84" s="24">
        <v>4.6211685757649869E-2</v>
      </c>
      <c r="H84" s="111">
        <f t="shared" si="3"/>
        <v>0.36476114906597701</v>
      </c>
      <c r="I84" s="112">
        <v>0.37864030098436763</v>
      </c>
      <c r="J84" s="24">
        <v>0.25647926947712857</v>
      </c>
      <c r="K84" s="113">
        <v>0.35083290768449904</v>
      </c>
      <c r="L84" s="111">
        <v>0.34510306364726978</v>
      </c>
      <c r="M84" s="21">
        <v>0.15</v>
      </c>
      <c r="N84" s="111">
        <v>0.21200696239163366</v>
      </c>
      <c r="O84" s="111">
        <v>0.47317490770283238</v>
      </c>
      <c r="P84" s="99">
        <v>0.30900921656154262</v>
      </c>
    </row>
    <row r="85" spans="1:16" ht="16" hidden="1">
      <c r="A85" s="110" t="s">
        <v>321</v>
      </c>
      <c r="B85" s="19">
        <v>28</v>
      </c>
      <c r="C85" s="111">
        <v>1.1208677660313939</v>
      </c>
      <c r="D85" s="24">
        <v>0.58836999325544537</v>
      </c>
      <c r="E85" s="24">
        <v>2.5315356319942507E-2</v>
      </c>
      <c r="F85" s="111">
        <f t="shared" si="2"/>
        <v>0.77769046555245314</v>
      </c>
      <c r="G85" s="24">
        <v>1.1420522776816953E-2</v>
      </c>
      <c r="H85" s="111">
        <f t="shared" si="3"/>
        <v>0.78667470190348754</v>
      </c>
      <c r="I85" s="112">
        <v>0.23396716194282416</v>
      </c>
      <c r="J85" s="24">
        <v>0.20718002005434216</v>
      </c>
      <c r="K85" s="113">
        <v>0.11632408585218017</v>
      </c>
      <c r="L85" s="111">
        <v>1.1594182467938388</v>
      </c>
      <c r="M85" s="21">
        <v>1.1399999999999999</v>
      </c>
      <c r="N85" s="111">
        <v>1.0650034437346438</v>
      </c>
      <c r="O85" s="111">
        <v>1.3559898443505161</v>
      </c>
      <c r="P85" s="99">
        <v>1.1014172473564972</v>
      </c>
    </row>
    <row r="86" spans="1:16" ht="16" hidden="1">
      <c r="A86" s="110" t="s">
        <v>322</v>
      </c>
      <c r="B86" s="19">
        <v>105</v>
      </c>
      <c r="C86" s="111">
        <v>1.1814057462278666</v>
      </c>
      <c r="D86" s="24">
        <v>0.36150755078040708</v>
      </c>
      <c r="E86" s="24">
        <v>9.5347378879633765E-2</v>
      </c>
      <c r="F86" s="111">
        <f t="shared" si="2"/>
        <v>0.92941330150933732</v>
      </c>
      <c r="G86" s="24">
        <v>4.4864143250234391E-2</v>
      </c>
      <c r="H86" s="111">
        <f t="shared" si="3"/>
        <v>0.97306921831208426</v>
      </c>
      <c r="I86" s="112">
        <v>0.50979666519010658</v>
      </c>
      <c r="J86" s="24">
        <v>0.44007853687551313</v>
      </c>
      <c r="K86" s="113">
        <v>0.2161079910676687</v>
      </c>
      <c r="L86" s="111">
        <v>0.69034637967944268</v>
      </c>
      <c r="M86" s="21">
        <v>1.03</v>
      </c>
      <c r="N86" s="111">
        <v>1.2289647113509314</v>
      </c>
      <c r="O86" s="111">
        <v>1.187876333197214</v>
      </c>
      <c r="P86" s="99">
        <v>1.0220513285079345</v>
      </c>
    </row>
    <row r="87" spans="1:16" ht="16" hidden="1">
      <c r="A87" s="110" t="s">
        <v>323</v>
      </c>
      <c r="B87" s="19">
        <v>3</v>
      </c>
      <c r="C87" s="111">
        <v>0.67451976956750803</v>
      </c>
      <c r="D87" s="24">
        <v>2.3527856745572255</v>
      </c>
      <c r="E87" s="24">
        <v>0</v>
      </c>
      <c r="F87" s="111">
        <f t="shared" si="2"/>
        <v>0.24398552809377427</v>
      </c>
      <c r="G87" s="24">
        <v>7.2895284056406162E-2</v>
      </c>
      <c r="H87" s="111">
        <f t="shared" si="3"/>
        <v>0.26316933125019143</v>
      </c>
      <c r="I87" s="112">
        <v>0.34493619489888339</v>
      </c>
      <c r="J87" s="24">
        <v>0.40772526552560179</v>
      </c>
      <c r="K87" s="113">
        <v>0.52820805919478009</v>
      </c>
      <c r="L87" s="111">
        <v>0.45318132931651134</v>
      </c>
      <c r="M87" s="21">
        <v>0.54</v>
      </c>
      <c r="N87" s="111">
        <v>0.58921293583338064</v>
      </c>
      <c r="O87" s="111">
        <v>0.26766554739644599</v>
      </c>
      <c r="P87" s="99">
        <v>0.4226458287593059</v>
      </c>
    </row>
    <row r="88" spans="1:16" ht="16" hidden="1">
      <c r="A88" s="110" t="s">
        <v>324</v>
      </c>
      <c r="B88" s="19">
        <v>63</v>
      </c>
      <c r="C88" s="111">
        <v>1.4952411850835359</v>
      </c>
      <c r="D88" s="24">
        <v>6.0454499264929754E-2</v>
      </c>
      <c r="E88" s="24">
        <v>4.8865843574454025E-2</v>
      </c>
      <c r="F88" s="111">
        <f t="shared" si="2"/>
        <v>1.4303862229362374</v>
      </c>
      <c r="G88" s="24">
        <v>2.0447513459422584E-2</v>
      </c>
      <c r="H88" s="111">
        <f t="shared" si="3"/>
        <v>1.460244593924559</v>
      </c>
      <c r="I88" s="112">
        <v>0.45354710772446294</v>
      </c>
      <c r="J88" s="24">
        <v>0.4147143445700453</v>
      </c>
      <c r="K88" s="113">
        <v>0.3492812713374337</v>
      </c>
      <c r="L88" s="111">
        <v>1.2368902767245551</v>
      </c>
      <c r="M88" s="21">
        <v>0.96</v>
      </c>
      <c r="N88" s="111">
        <v>1.135821074309048</v>
      </c>
      <c r="O88" s="111">
        <v>1.5342672202060941</v>
      </c>
      <c r="P88" s="99">
        <v>1.265444633032851</v>
      </c>
    </row>
    <row r="89" spans="1:16" ht="16" hidden="1">
      <c r="A89" s="110" t="s">
        <v>325</v>
      </c>
      <c r="B89" s="19">
        <v>30</v>
      </c>
      <c r="C89" s="111">
        <v>1.5279822074255314</v>
      </c>
      <c r="D89" s="24">
        <v>7.7778725034716764E-2</v>
      </c>
      <c r="E89" s="24">
        <v>0.12141951160150626</v>
      </c>
      <c r="F89" s="111">
        <f t="shared" si="2"/>
        <v>1.4437617465028647</v>
      </c>
      <c r="G89" s="24">
        <v>4.2449141282180414E-2</v>
      </c>
      <c r="H89" s="111">
        <f t="shared" si="3"/>
        <v>1.5077650793777069</v>
      </c>
      <c r="I89" s="112">
        <v>0.37660583764014344</v>
      </c>
      <c r="J89" s="24">
        <v>0.37040142988651292</v>
      </c>
      <c r="K89" s="113">
        <v>0.6706837915915087</v>
      </c>
      <c r="L89" s="111">
        <v>1.2534843105487556</v>
      </c>
      <c r="M89" s="21">
        <v>1.07</v>
      </c>
      <c r="N89" s="111">
        <v>1.3414180698068143</v>
      </c>
      <c r="O89" s="111">
        <v>1.6892473610771204</v>
      </c>
      <c r="P89" s="99">
        <v>1.3723829641620795</v>
      </c>
    </row>
    <row r="90" spans="1:16" ht="16" hidden="1">
      <c r="A90" s="110" t="s">
        <v>326</v>
      </c>
      <c r="B90" s="19">
        <v>8</v>
      </c>
      <c r="C90" s="111">
        <v>0.81083614181090768</v>
      </c>
      <c r="D90" s="24">
        <v>0.29772635042299012</v>
      </c>
      <c r="E90" s="24">
        <v>6.7377894541316763E-2</v>
      </c>
      <c r="F90" s="111">
        <f t="shared" si="2"/>
        <v>0.66282973364780495</v>
      </c>
      <c r="G90" s="24">
        <v>3.4613184442004764E-2</v>
      </c>
      <c r="H90" s="111">
        <f t="shared" si="3"/>
        <v>0.68659497205240805</v>
      </c>
      <c r="I90" s="112">
        <v>0.3448217898647169</v>
      </c>
      <c r="J90" s="24">
        <v>0.45074724706930092</v>
      </c>
      <c r="K90" s="113">
        <v>0.91441824674508987</v>
      </c>
      <c r="L90" s="111">
        <v>1.5713945020074378</v>
      </c>
      <c r="M90" s="21">
        <v>0.74</v>
      </c>
      <c r="N90" s="111">
        <v>0.80231747596426517</v>
      </c>
      <c r="O90" s="111">
        <v>0.78033395563769492</v>
      </c>
      <c r="P90" s="99">
        <v>0.91612818113236116</v>
      </c>
    </row>
    <row r="91" spans="1:16" ht="16" hidden="1">
      <c r="A91" s="110" t="s">
        <v>327</v>
      </c>
      <c r="B91" s="19">
        <v>13</v>
      </c>
      <c r="C91" s="111">
        <v>1.2915789442240697</v>
      </c>
      <c r="D91" s="24">
        <v>8.709170868746148E-2</v>
      </c>
      <c r="E91" s="24">
        <v>0.11308691110175229</v>
      </c>
      <c r="F91" s="111">
        <f t="shared" si="2"/>
        <v>1.2123872841015533</v>
      </c>
      <c r="G91" s="24">
        <v>4.7685545209037609E-2</v>
      </c>
      <c r="H91" s="111">
        <f t="shared" si="3"/>
        <v>1.2730955389810585</v>
      </c>
      <c r="I91" s="112">
        <v>0.46725927842402937</v>
      </c>
      <c r="J91" s="24">
        <v>0.36279908890119261</v>
      </c>
      <c r="K91" s="113">
        <v>0.28184183355713582</v>
      </c>
      <c r="L91" s="111">
        <v>0.83360996909511786</v>
      </c>
      <c r="M91" s="21">
        <v>0.98</v>
      </c>
      <c r="N91" s="111">
        <v>1.1884916532310223</v>
      </c>
      <c r="O91" s="111">
        <v>1.2886673829152329</v>
      </c>
      <c r="P91" s="99">
        <v>1.1127729088444864</v>
      </c>
    </row>
    <row r="92" spans="1:16" ht="16" hidden="1">
      <c r="A92" s="110" t="s">
        <v>328</v>
      </c>
      <c r="B92" s="19">
        <v>84</v>
      </c>
      <c r="C92" s="111">
        <v>1.1083305740238332</v>
      </c>
      <c r="D92" s="24">
        <v>3.1524944361786544E-2</v>
      </c>
      <c r="E92" s="24">
        <v>5.1117470447885394E-2</v>
      </c>
      <c r="F92" s="111">
        <f t="shared" si="2"/>
        <v>1.0827308027863589</v>
      </c>
      <c r="G92" s="24">
        <v>2.7790438064266489E-2</v>
      </c>
      <c r="H92" s="111">
        <f t="shared" si="3"/>
        <v>1.1136804709373258</v>
      </c>
      <c r="I92" s="112">
        <v>0.61017295145129802</v>
      </c>
      <c r="J92" s="24">
        <v>0.52789322078229139</v>
      </c>
      <c r="K92" s="113">
        <v>0.62138521742850261</v>
      </c>
      <c r="L92" s="111">
        <v>1.2858744552797758</v>
      </c>
      <c r="M92" s="21">
        <v>0.96</v>
      </c>
      <c r="N92" s="111">
        <v>1.2075498828617475</v>
      </c>
      <c r="O92" s="111">
        <v>1.3578802103729628</v>
      </c>
      <c r="P92" s="99">
        <v>1.1849970038903623</v>
      </c>
    </row>
    <row r="93" spans="1:16" ht="16" hidden="1">
      <c r="A93" s="110" t="s">
        <v>329</v>
      </c>
      <c r="B93" s="19">
        <v>35</v>
      </c>
      <c r="C93" s="111">
        <v>1.6160843271745926</v>
      </c>
      <c r="D93" s="24">
        <v>0.11980394445408772</v>
      </c>
      <c r="E93" s="24">
        <v>2.6055760534544135E-2</v>
      </c>
      <c r="F93" s="111">
        <f t="shared" si="2"/>
        <v>1.4828462085704464</v>
      </c>
      <c r="G93" s="24">
        <v>1.9123537707009745E-2</v>
      </c>
      <c r="H93" s="111">
        <f t="shared" si="3"/>
        <v>1.5117563379021286</v>
      </c>
      <c r="I93" s="112">
        <v>0.53944068144835633</v>
      </c>
      <c r="J93" s="24">
        <v>0.65221602599035</v>
      </c>
      <c r="K93" s="113">
        <v>3.7408533724795991</v>
      </c>
      <c r="L93" s="111">
        <v>1.5032034061310999</v>
      </c>
      <c r="M93" s="21">
        <v>0.75</v>
      </c>
      <c r="N93" s="111">
        <v>0.97506380366216394</v>
      </c>
      <c r="O93" s="111">
        <v>1.416511407810549</v>
      </c>
      <c r="P93" s="99">
        <v>1.2313069911011882</v>
      </c>
    </row>
    <row r="94" spans="1:16" ht="16" hidden="1">
      <c r="A94" s="110" t="s">
        <v>330</v>
      </c>
      <c r="B94" s="19">
        <v>351</v>
      </c>
      <c r="C94" s="111">
        <v>1.2939647291542515</v>
      </c>
      <c r="D94" s="24">
        <v>6.203718167598915E-2</v>
      </c>
      <c r="E94" s="24">
        <v>4.1899256824647825E-2</v>
      </c>
      <c r="F94" s="111">
        <f t="shared" si="2"/>
        <v>1.2364359766677997</v>
      </c>
      <c r="G94" s="24">
        <v>2.8309766617784907E-2</v>
      </c>
      <c r="H94" s="111">
        <f t="shared" si="3"/>
        <v>1.2724589938133573</v>
      </c>
      <c r="I94" s="112">
        <v>0.58476138523271826</v>
      </c>
      <c r="J94" s="24">
        <v>0.52086489824807281</v>
      </c>
      <c r="K94" s="113">
        <v>0.35932505045450563</v>
      </c>
      <c r="L94" s="111">
        <v>1.1491608268691911</v>
      </c>
      <c r="M94" s="21">
        <v>0.89</v>
      </c>
      <c r="N94" s="111">
        <v>1.1224549396080949</v>
      </c>
      <c r="O94" s="111">
        <v>1.4129709426977197</v>
      </c>
      <c r="P94" s="99">
        <v>1.1694091405976725</v>
      </c>
    </row>
    <row r="95" spans="1:16" ht="16" hidden="1">
      <c r="A95" s="110" t="s">
        <v>331</v>
      </c>
      <c r="B95" s="19">
        <v>29</v>
      </c>
      <c r="C95" s="111">
        <v>1.126371725263511</v>
      </c>
      <c r="D95" s="24">
        <v>0.20184145309143442</v>
      </c>
      <c r="E95" s="24">
        <v>0.15721765690237771</v>
      </c>
      <c r="F95" s="111">
        <f t="shared" si="2"/>
        <v>0.97827881248335802</v>
      </c>
      <c r="G95" s="24">
        <v>9.2060293449195557E-2</v>
      </c>
      <c r="H95" s="111">
        <f t="shared" si="3"/>
        <v>1.0774711199709137</v>
      </c>
      <c r="I95" s="112">
        <v>0.36202958963908233</v>
      </c>
      <c r="J95" s="24">
        <v>0.38102205031992209</v>
      </c>
      <c r="K95" s="113">
        <v>1.154527395943155</v>
      </c>
      <c r="L95" s="111">
        <v>1.2855689138232198</v>
      </c>
      <c r="M95" s="21">
        <v>0.78</v>
      </c>
      <c r="N95" s="111">
        <v>0.98255699807352492</v>
      </c>
      <c r="O95" s="111">
        <v>1.2125474928571525</v>
      </c>
      <c r="P95" s="99">
        <v>1.0676289049449621</v>
      </c>
    </row>
    <row r="96" spans="1:16" ht="16" hidden="1">
      <c r="A96" s="110" t="s">
        <v>332</v>
      </c>
      <c r="B96" s="19">
        <v>13</v>
      </c>
      <c r="C96" s="111">
        <v>1.087361359035153</v>
      </c>
      <c r="D96" s="24">
        <v>0.64161340578993542</v>
      </c>
      <c r="E96" s="24">
        <v>9.5647035061602784E-2</v>
      </c>
      <c r="F96" s="111">
        <f t="shared" si="2"/>
        <v>0.73410341487174247</v>
      </c>
      <c r="G96" s="24">
        <v>1.7674424001325816E-2</v>
      </c>
      <c r="H96" s="111">
        <f t="shared" si="3"/>
        <v>0.74731171905548888</v>
      </c>
      <c r="I96" s="112">
        <v>0.63126141970865912</v>
      </c>
      <c r="J96" s="24">
        <v>0.60305869412683921</v>
      </c>
      <c r="K96" s="113">
        <v>0.70801833346491372</v>
      </c>
      <c r="L96" s="111">
        <v>0.59690807402526536</v>
      </c>
      <c r="M96" s="21">
        <v>0.39</v>
      </c>
      <c r="N96" s="111">
        <v>0.62723011307829235</v>
      </c>
      <c r="O96" s="111">
        <v>0.71135842360803681</v>
      </c>
      <c r="P96" s="99">
        <v>0.61456166595341677</v>
      </c>
    </row>
    <row r="97" spans="1:16" ht="16" hidden="1">
      <c r="A97" s="110" t="s">
        <v>333</v>
      </c>
      <c r="B97" s="19">
        <v>66</v>
      </c>
      <c r="C97" s="111">
        <v>1.0805072059156025</v>
      </c>
      <c r="D97" s="24">
        <v>0.11414536166424481</v>
      </c>
      <c r="E97" s="24">
        <v>6.1986014900528949E-2</v>
      </c>
      <c r="F97" s="111">
        <f t="shared" si="2"/>
        <v>0.99530050392662051</v>
      </c>
      <c r="G97" s="24">
        <v>4.8149551329149144E-2</v>
      </c>
      <c r="H97" s="111">
        <f t="shared" si="3"/>
        <v>1.0456479852653771</v>
      </c>
      <c r="I97" s="112">
        <v>0.56469012566254695</v>
      </c>
      <c r="J97" s="24">
        <v>0.46622145090064521</v>
      </c>
      <c r="K97" s="113">
        <v>0.11851342491146834</v>
      </c>
      <c r="L97" s="111">
        <v>0.83597865832287344</v>
      </c>
      <c r="M97" s="21">
        <v>0.83</v>
      </c>
      <c r="N97" s="111">
        <v>1.0568634798545709</v>
      </c>
      <c r="O97" s="111">
        <v>1.1784895771242725</v>
      </c>
      <c r="P97" s="99">
        <v>0.9893959401134188</v>
      </c>
    </row>
    <row r="98" spans="1:16" ht="16" hidden="1">
      <c r="A98" s="110" t="s">
        <v>334</v>
      </c>
      <c r="B98" s="19">
        <v>42</v>
      </c>
      <c r="C98" s="111">
        <v>0.78450471128722188</v>
      </c>
      <c r="D98" s="24">
        <v>1.2491307736162089</v>
      </c>
      <c r="E98" s="24">
        <v>6.6167707840687123E-2</v>
      </c>
      <c r="F98" s="111">
        <f t="shared" si="2"/>
        <v>0.40504194381693037</v>
      </c>
      <c r="G98" s="24">
        <v>2.1901374306522045E-2</v>
      </c>
      <c r="H98" s="111">
        <f t="shared" si="3"/>
        <v>0.4141115560097563</v>
      </c>
      <c r="I98" s="112">
        <v>0.56617477461504351</v>
      </c>
      <c r="J98" s="24">
        <v>0.50416714350221437</v>
      </c>
      <c r="K98" s="113">
        <v>0.1496391677802727</v>
      </c>
      <c r="L98" s="111">
        <v>0.66658422431944475</v>
      </c>
      <c r="M98" s="21">
        <v>0.42</v>
      </c>
      <c r="N98" s="111">
        <v>0.50915335116483895</v>
      </c>
      <c r="O98" s="111">
        <v>0.47390612503545576</v>
      </c>
      <c r="P98" s="99">
        <v>0.49675105130589908</v>
      </c>
    </row>
    <row r="99" spans="1:16" ht="16" hidden="1">
      <c r="A99" s="110" t="s">
        <v>335</v>
      </c>
      <c r="B99" s="19">
        <v>16</v>
      </c>
      <c r="C99" s="111">
        <v>1.2232908278447494</v>
      </c>
      <c r="D99" s="24">
        <v>0.34903726220375941</v>
      </c>
      <c r="E99" s="24">
        <v>9.9528549065057051E-2</v>
      </c>
      <c r="F99" s="111">
        <f t="shared" si="2"/>
        <v>0.96949770844373462</v>
      </c>
      <c r="G99" s="24">
        <v>1.7812652027244778E-2</v>
      </c>
      <c r="H99" s="111">
        <f t="shared" si="3"/>
        <v>0.98708022501489956</v>
      </c>
      <c r="I99" s="112">
        <v>0.57915508276392125</v>
      </c>
      <c r="J99" s="24">
        <v>0.4800026780389306</v>
      </c>
      <c r="K99" s="113">
        <v>8.7290609233804911E-2</v>
      </c>
      <c r="L99" s="111">
        <v>1.426322641272642</v>
      </c>
      <c r="M99" s="21">
        <v>0.61</v>
      </c>
      <c r="N99" s="111">
        <v>0.86224908484130214</v>
      </c>
      <c r="O99" s="111">
        <v>1.7442504521558875</v>
      </c>
      <c r="P99" s="99">
        <v>1.1259804806569462</v>
      </c>
    </row>
    <row r="100" spans="1:16" ht="16" hidden="1">
      <c r="A100" s="110" t="s">
        <v>336</v>
      </c>
      <c r="B100" s="19">
        <v>36</v>
      </c>
      <c r="C100" s="111">
        <v>1.2585314504520015</v>
      </c>
      <c r="D100" s="24">
        <v>0.33581836499910017</v>
      </c>
      <c r="E100" s="24">
        <v>6.5251632434000117E-2</v>
      </c>
      <c r="F100" s="111">
        <f t="shared" si="2"/>
        <v>1.0053261998968999</v>
      </c>
      <c r="G100" s="24">
        <v>3.9430946527705762E-2</v>
      </c>
      <c r="H100" s="111">
        <f t="shared" si="3"/>
        <v>1.046594408036378</v>
      </c>
      <c r="I100" s="112">
        <v>0.62042185613098588</v>
      </c>
      <c r="J100" s="24">
        <v>0.53119137456433019</v>
      </c>
      <c r="K100" s="113">
        <v>0.55086070463202619</v>
      </c>
      <c r="L100" s="111">
        <v>0.95727016951115262</v>
      </c>
      <c r="M100" s="21">
        <v>0.79</v>
      </c>
      <c r="N100" s="111">
        <v>0.71581476967907198</v>
      </c>
      <c r="O100" s="111">
        <v>0.92459381899211512</v>
      </c>
      <c r="P100" s="99">
        <v>0.88685463324374358</v>
      </c>
    </row>
    <row r="101" spans="1:16" ht="16" hidden="1">
      <c r="A101" s="110" t="s">
        <v>337</v>
      </c>
      <c r="B101" s="19">
        <v>4</v>
      </c>
      <c r="C101" s="111">
        <v>1.0172723923008653</v>
      </c>
      <c r="D101" s="24">
        <v>0.26810967308810274</v>
      </c>
      <c r="E101" s="24">
        <v>0.17280266163132788</v>
      </c>
      <c r="F101" s="111">
        <f t="shared" si="2"/>
        <v>0.84696313530719947</v>
      </c>
      <c r="G101" s="24">
        <v>1.0554548810452881E-2</v>
      </c>
      <c r="H101" s="111">
        <f t="shared" si="3"/>
        <v>0.85599780593154451</v>
      </c>
      <c r="I101" s="112">
        <v>0.18679691462453912</v>
      </c>
      <c r="J101" s="24">
        <v>0.2227735820416239</v>
      </c>
      <c r="K101" s="113">
        <v>0.13493133390206505</v>
      </c>
      <c r="L101" s="111">
        <v>1.8919831806779572</v>
      </c>
      <c r="M101" s="21">
        <v>0.74</v>
      </c>
      <c r="N101" s="111">
        <v>0.64760822307726795</v>
      </c>
      <c r="O101" s="111">
        <v>0.93238153388768741</v>
      </c>
      <c r="P101" s="99">
        <v>1.0135941487148914</v>
      </c>
    </row>
    <row r="102" spans="1:16" ht="16" hidden="1">
      <c r="A102" s="110" t="s">
        <v>338</v>
      </c>
      <c r="B102" s="19">
        <v>22</v>
      </c>
      <c r="C102" s="111">
        <v>1.1484074577647394</v>
      </c>
      <c r="D102" s="24">
        <v>0.19950539325163447</v>
      </c>
      <c r="E102" s="24">
        <v>0.20207990873604598</v>
      </c>
      <c r="F102" s="111">
        <f t="shared" si="2"/>
        <v>0.99893740752344029</v>
      </c>
      <c r="G102" s="24">
        <v>2.9361502303125286E-2</v>
      </c>
      <c r="H102" s="111">
        <f t="shared" si="3"/>
        <v>1.0291549427451241</v>
      </c>
      <c r="I102" s="112">
        <v>0.34295428248124715</v>
      </c>
      <c r="J102" s="24">
        <v>0.28328548955431604</v>
      </c>
      <c r="K102" s="113">
        <v>0.42220457167903458</v>
      </c>
      <c r="L102" s="111">
        <v>1.041066799245524</v>
      </c>
      <c r="M102" s="21">
        <v>0.94</v>
      </c>
      <c r="N102" s="111">
        <v>1.2784881792172302</v>
      </c>
      <c r="O102" s="111">
        <v>1.232855746839977</v>
      </c>
      <c r="P102" s="99">
        <v>1.1043131336095713</v>
      </c>
    </row>
    <row r="103" spans="1:16" ht="16" hidden="1">
      <c r="A103" s="110" t="s">
        <v>339</v>
      </c>
      <c r="B103" s="19">
        <v>14</v>
      </c>
      <c r="C103" s="111">
        <v>0.58043230816873881</v>
      </c>
      <c r="D103" s="24">
        <v>0.84835036840516176</v>
      </c>
      <c r="E103" s="24">
        <v>0.1405010662826639</v>
      </c>
      <c r="F103" s="111">
        <f t="shared" si="2"/>
        <v>0.35473049718815236</v>
      </c>
      <c r="G103" s="24">
        <v>5.7867812230826344E-3</v>
      </c>
      <c r="H103" s="111">
        <f t="shared" si="3"/>
        <v>0.35679519291097572</v>
      </c>
      <c r="I103" s="112">
        <v>0.15052959253451076</v>
      </c>
      <c r="J103" s="24">
        <v>0.14927275095736059</v>
      </c>
      <c r="K103" s="113">
        <v>9.8284242368538E-2</v>
      </c>
      <c r="L103" s="111">
        <v>0.18968841681761509</v>
      </c>
      <c r="M103" s="21">
        <v>0.48</v>
      </c>
      <c r="N103" s="111">
        <v>0.59621878625724234</v>
      </c>
      <c r="O103" s="111">
        <v>0.40946178198765182</v>
      </c>
      <c r="P103" s="99">
        <v>0.40643283559469695</v>
      </c>
    </row>
    <row r="104" spans="1:16" ht="16" hidden="1">
      <c r="A104" s="110" t="s">
        <v>340</v>
      </c>
      <c r="B104" s="19">
        <v>13</v>
      </c>
      <c r="C104" s="111">
        <v>0.71396343407949392</v>
      </c>
      <c r="D104" s="24">
        <v>0.50891724278783013</v>
      </c>
      <c r="E104" s="24">
        <v>0.11091729369959376</v>
      </c>
      <c r="F104" s="111">
        <f t="shared" si="2"/>
        <v>0.5167327711975247</v>
      </c>
      <c r="G104" s="24">
        <v>1.0680793143509395E-2</v>
      </c>
      <c r="H104" s="111">
        <f t="shared" si="3"/>
        <v>0.52231147198629224</v>
      </c>
      <c r="I104" s="112">
        <v>0.29514537851658351</v>
      </c>
      <c r="J104" s="24">
        <v>0.42031449597641213</v>
      </c>
      <c r="K104" s="113">
        <v>0.15079146446482927</v>
      </c>
      <c r="L104" s="111">
        <v>0.56532125712405057</v>
      </c>
      <c r="M104" s="21">
        <v>0.56999999999999995</v>
      </c>
      <c r="N104" s="111">
        <v>0.61417995243827894</v>
      </c>
      <c r="O104" s="111">
        <v>0.87252087534243938</v>
      </c>
      <c r="P104" s="99">
        <v>0.62886671137821215</v>
      </c>
    </row>
    <row r="105" spans="1:16" s="20" customFormat="1" ht="16" hidden="1">
      <c r="A105" s="110" t="s">
        <v>341</v>
      </c>
      <c r="B105" s="19">
        <v>6481</v>
      </c>
      <c r="C105" s="111">
        <v>1.0002231348562109</v>
      </c>
      <c r="D105" s="24">
        <v>0.46420192096618673</v>
      </c>
      <c r="E105" s="24">
        <v>8.3462639328263241E-2</v>
      </c>
      <c r="F105" s="111">
        <f t="shared" si="2"/>
        <v>0.74192194188405469</v>
      </c>
      <c r="G105" s="24">
        <v>6.1316559247518679E-2</v>
      </c>
      <c r="H105" s="111">
        <f t="shared" si="3"/>
        <v>0.79038567175458452</v>
      </c>
      <c r="I105" s="112">
        <v>0.47216092270971699</v>
      </c>
      <c r="J105" s="24">
        <v>0.42031449597641213</v>
      </c>
      <c r="K105" s="113">
        <v>0.23067478182035933</v>
      </c>
      <c r="L105" s="114">
        <v>0.82945377332234371</v>
      </c>
      <c r="M105" s="21">
        <v>0.75</v>
      </c>
      <c r="N105" s="111">
        <v>0.90938056763016906</v>
      </c>
      <c r="O105" s="111">
        <v>0.88473743431849605</v>
      </c>
      <c r="P105" s="99">
        <v>0.83279148940511871</v>
      </c>
    </row>
    <row r="106" spans="1:16" s="20" customFormat="1" ht="16" hidden="1">
      <c r="A106" s="110" t="s">
        <v>342</v>
      </c>
      <c r="B106" s="19">
        <v>5214</v>
      </c>
      <c r="C106" s="111">
        <v>1.0975226422471853</v>
      </c>
      <c r="D106" s="24">
        <v>0.22599891295321506</v>
      </c>
      <c r="E106" s="24">
        <v>6.804899654901593E-2</v>
      </c>
      <c r="F106" s="111">
        <f t="shared" si="2"/>
        <v>0.93845524357054455</v>
      </c>
      <c r="G106" s="24">
        <v>3.4777004531914908E-2</v>
      </c>
      <c r="H106" s="111">
        <f t="shared" si="3"/>
        <v>0.97226780544680302</v>
      </c>
      <c r="I106" s="112">
        <v>0.52106619546645749</v>
      </c>
      <c r="J106" s="24">
        <v>0.47003459500949929</v>
      </c>
      <c r="K106" s="113">
        <v>0.23158686985085974</v>
      </c>
      <c r="L106" s="114">
        <v>1.0124816766890556</v>
      </c>
      <c r="M106" s="21">
        <v>0.86</v>
      </c>
      <c r="N106" s="111">
        <v>1.0402068170288452</v>
      </c>
      <c r="O106" s="111">
        <v>1.1212181402625263</v>
      </c>
      <c r="P106" s="99">
        <v>1.001234887885446</v>
      </c>
    </row>
  </sheetData>
  <mergeCells count="12">
    <mergeCell ref="B7:G7"/>
    <mergeCell ref="L9:P9"/>
    <mergeCell ref="B1:G1"/>
    <mergeCell ref="H1:H7"/>
    <mergeCell ref="I1:K1"/>
    <mergeCell ref="B2:G2"/>
    <mergeCell ref="I2:K7"/>
    <mergeCell ref="B3:E3"/>
    <mergeCell ref="F3:G3"/>
    <mergeCell ref="B4:G4"/>
    <mergeCell ref="B5:G5"/>
    <mergeCell ref="B6:G6"/>
  </mergeCells>
  <hyperlinks>
    <hyperlink ref="B2" r:id="rId1" xr:uid="{2D4D90E2-59BC-4430-A202-BAE07985CC7A}"/>
    <hyperlink ref="B4" r:id="rId2" xr:uid="{CC165C72-CF2E-4D67-824E-669810392269}"/>
    <hyperlink ref="B5" r:id="rId3" display="http://www.stern.nyu.edu/~adamodar/New_Home_Page/data.html" xr:uid="{5687EE0F-53C5-44A0-94FB-EFDCB9063694}"/>
    <hyperlink ref="B6" r:id="rId4" display="http://www.stern.nyu.edu/~adamodar/pc/datasets/indname.xls" xr:uid="{F7AFE5E8-4DA3-4598-BB72-DE0C3E149BB1}"/>
    <hyperlink ref="B7" r:id="rId5" display="http://www.stern.nyu.edu/~adamodar/New_Home_Page/datafile/variable.htm" xr:uid="{67134F27-CD32-4031-9347-58767A2EE5CE}"/>
    <hyperlink ref="H1:H7" r:id="rId6" display="YouTube Video explaining estimation choices and process." xr:uid="{95582D10-B1C8-4653-AF0C-AA7A543E29B1}"/>
  </hyperlinks>
  <pageMargins left="0.7" right="0.7" top="0.75" bottom="0.75" header="0.3" footer="0.3"/>
  <tableParts count="1">
    <tablePart r:id="rId7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E85-FEC8-4BE3-8C84-817DE4303484}">
  <sheetPr>
    <tabColor theme="0" tint="-0.249977111117893"/>
  </sheetPr>
  <dimension ref="A4:AS78"/>
  <sheetViews>
    <sheetView showGridLines="0" topLeftCell="A63" zoomScale="150" zoomScaleNormal="150" workbookViewId="0">
      <selection activeCell="A37" sqref="A37"/>
    </sheetView>
  </sheetViews>
  <sheetFormatPr baseColWidth="10" defaultColWidth="7.6640625" defaultRowHeight="16" outlineLevelRow="1"/>
  <cols>
    <col min="1" max="1" width="1.6640625" style="942" bestFit="1" customWidth="1"/>
    <col min="2" max="2" width="33.1640625" style="943" bestFit="1" customWidth="1"/>
    <col min="3" max="3" width="18.1640625" style="943" bestFit="1" customWidth="1"/>
    <col min="4" max="8" width="8.33203125" style="943" bestFit="1" customWidth="1"/>
    <col min="9" max="9" width="4.1640625" style="943" customWidth="1"/>
    <col min="10" max="10" width="14.1640625" style="943" customWidth="1"/>
    <col min="11" max="11" width="18.33203125" style="943" bestFit="1" customWidth="1"/>
    <col min="12" max="12" width="10.83203125" style="943" bestFit="1" customWidth="1"/>
    <col min="13" max="13" width="8.33203125" style="943" bestFit="1" customWidth="1"/>
    <col min="14" max="14" width="6.6640625" style="943" bestFit="1" customWidth="1"/>
    <col min="15" max="15" width="6" style="943" bestFit="1" customWidth="1"/>
    <col min="16" max="18" width="7.6640625" style="943" customWidth="1"/>
    <col min="19" max="43" width="7.6640625" style="943"/>
    <col min="44" max="44" width="6.6640625" style="943" bestFit="1" customWidth="1"/>
    <col min="45" max="45" width="6" style="943" bestFit="1" customWidth="1"/>
    <col min="46" max="16384" width="7.6640625" style="943"/>
  </cols>
  <sheetData>
    <row r="4" spans="1:45">
      <c r="Y4" s="944"/>
    </row>
    <row r="5" spans="1:45">
      <c r="Y5" s="944"/>
    </row>
    <row r="6" spans="1:45">
      <c r="A6" s="945" t="s">
        <v>24</v>
      </c>
      <c r="B6" s="946" t="s">
        <v>137</v>
      </c>
      <c r="C6" s="946"/>
      <c r="D6" s="946"/>
      <c r="E6" s="946"/>
      <c r="F6" s="946"/>
      <c r="G6" s="946"/>
      <c r="H6" s="946"/>
      <c r="I6" s="946"/>
      <c r="J6" s="946"/>
      <c r="K6" s="946"/>
      <c r="L6" s="946"/>
      <c r="M6" s="946"/>
      <c r="N6" s="946"/>
      <c r="O6" s="946"/>
      <c r="P6" s="946"/>
      <c r="Q6" s="946"/>
      <c r="R6" s="946"/>
    </row>
    <row r="7" spans="1:45">
      <c r="A7" s="947"/>
    </row>
    <row r="8" spans="1:45" s="950" customFormat="1">
      <c r="A8" s="948" t="s">
        <v>24</v>
      </c>
      <c r="B8" s="949" t="s">
        <v>151</v>
      </c>
      <c r="C8" s="949"/>
      <c r="D8" s="949"/>
      <c r="E8" s="949"/>
      <c r="F8" s="949"/>
      <c r="G8" s="949"/>
      <c r="H8" s="949"/>
      <c r="J8" s="949" t="s">
        <v>481</v>
      </c>
      <c r="K8" s="949"/>
      <c r="L8" s="949"/>
      <c r="M8" s="949"/>
      <c r="N8" s="949"/>
      <c r="O8" s="949"/>
      <c r="P8" s="949"/>
      <c r="Q8" s="949"/>
      <c r="R8" s="949"/>
    </row>
    <row r="9" spans="1:45">
      <c r="A9" s="947"/>
      <c r="B9" s="951"/>
      <c r="C9" s="951"/>
      <c r="D9" s="951"/>
      <c r="E9" s="951"/>
      <c r="F9" s="951"/>
      <c r="G9" s="951"/>
      <c r="H9" s="951"/>
      <c r="I9" s="951"/>
      <c r="J9" s="951"/>
      <c r="K9" s="951"/>
      <c r="L9" s="951"/>
      <c r="M9" s="951"/>
      <c r="N9" s="951"/>
      <c r="O9" s="951"/>
      <c r="P9" s="951"/>
      <c r="Q9" s="951"/>
      <c r="R9" s="951"/>
      <c r="AR9" s="952" t="e">
        <f>+#REF!</f>
        <v>#REF!</v>
      </c>
    </row>
    <row r="11" spans="1:45">
      <c r="A11" s="947"/>
      <c r="B11" s="953" t="s">
        <v>138</v>
      </c>
      <c r="C11" s="954" t="s">
        <v>12</v>
      </c>
      <c r="D11" s="955" t="s">
        <v>139</v>
      </c>
      <c r="E11" s="955" t="s">
        <v>140</v>
      </c>
      <c r="F11" s="955" t="s">
        <v>136</v>
      </c>
      <c r="G11" s="955" t="s">
        <v>141</v>
      </c>
      <c r="H11" s="955" t="s">
        <v>142</v>
      </c>
      <c r="I11" s="956"/>
      <c r="K11" s="957" t="s">
        <v>143</v>
      </c>
      <c r="L11" s="957" t="s">
        <v>144</v>
      </c>
      <c r="M11" s="957" t="s">
        <v>145</v>
      </c>
      <c r="N11" s="958"/>
      <c r="P11" s="956"/>
      <c r="Q11" s="956"/>
      <c r="R11" s="956"/>
      <c r="AR11" s="959" t="s">
        <v>146</v>
      </c>
      <c r="AS11" s="960" t="s">
        <v>147</v>
      </c>
    </row>
    <row r="12" spans="1:45">
      <c r="A12" s="947"/>
      <c r="B12" s="961" t="s">
        <v>492</v>
      </c>
      <c r="C12" s="962" t="s">
        <v>67</v>
      </c>
      <c r="D12" s="963">
        <f t="shared" ref="D12:D17" si="0">+F12*(1-$D$30)</f>
        <v>37.199688331042374</v>
      </c>
      <c r="E12" s="963">
        <f t="shared" ref="E12:E17" si="1">+AVERAGE(D12,F12)</f>
        <v>40.4820137720167</v>
      </c>
      <c r="F12" s="964">
        <v>43.764339212991032</v>
      </c>
      <c r="G12" s="963">
        <f t="shared" ref="G12:G17" si="2">+AVERAGE(F12,H12)</f>
        <v>47.046664653965358</v>
      </c>
      <c r="H12" s="963">
        <f t="shared" ref="H12:H17" si="3">+F12*(1+$D$30)</f>
        <v>50.328990094939684</v>
      </c>
      <c r="I12" s="956"/>
      <c r="K12" s="965">
        <f t="shared" ref="K12:K26" si="4">D12</f>
        <v>37.199688331042374</v>
      </c>
      <c r="L12" s="965">
        <f t="shared" ref="L12:L17" si="5">F12-D12</f>
        <v>6.5646508819486584</v>
      </c>
      <c r="M12" s="966">
        <f t="shared" ref="M12:M17" si="6">H12-F12</f>
        <v>6.5646508819486513</v>
      </c>
      <c r="N12" s="958"/>
      <c r="O12" s="958"/>
      <c r="P12" s="956"/>
      <c r="Q12" s="956"/>
      <c r="R12" s="956"/>
      <c r="AH12" s="967"/>
      <c r="AI12" s="967"/>
      <c r="AJ12" s="967"/>
      <c r="AK12" s="967"/>
      <c r="AL12" s="967"/>
      <c r="AM12" s="967"/>
      <c r="AN12" s="967"/>
      <c r="AO12" s="967"/>
      <c r="AP12" s="967"/>
      <c r="AR12" s="943" t="e">
        <f>+IF(#REF!="yes",D12,AS12-AS12*$AR$9)</f>
        <v>#REF!</v>
      </c>
      <c r="AS12" s="943" t="e">
        <f>+IF(#REF!="yes",H12,I12)</f>
        <v>#REF!</v>
      </c>
    </row>
    <row r="13" spans="1:45">
      <c r="A13" s="947"/>
      <c r="B13" s="961" t="s">
        <v>491</v>
      </c>
      <c r="C13" s="962" t="s">
        <v>67</v>
      </c>
      <c r="D13" s="963">
        <f t="shared" si="0"/>
        <v>33.644440783851266</v>
      </c>
      <c r="E13" s="963">
        <f t="shared" si="1"/>
        <v>36.613067911838144</v>
      </c>
      <c r="F13" s="964">
        <v>39.581695039825021</v>
      </c>
      <c r="G13" s="963">
        <f t="shared" si="2"/>
        <v>42.550322167811899</v>
      </c>
      <c r="H13" s="963">
        <f t="shared" si="3"/>
        <v>45.51894929579877</v>
      </c>
      <c r="I13" s="956"/>
      <c r="K13" s="965">
        <f t="shared" si="4"/>
        <v>33.644440783851266</v>
      </c>
      <c r="L13" s="965">
        <f t="shared" si="5"/>
        <v>5.9372542559737553</v>
      </c>
      <c r="M13" s="966">
        <f t="shared" si="6"/>
        <v>5.9372542559737482</v>
      </c>
      <c r="N13" s="958"/>
      <c r="O13" s="958"/>
      <c r="P13" s="956"/>
      <c r="Q13" s="956"/>
      <c r="R13" s="956"/>
      <c r="AH13" s="967"/>
      <c r="AI13" s="967"/>
      <c r="AJ13" s="967"/>
      <c r="AK13" s="967"/>
      <c r="AL13" s="967"/>
      <c r="AM13" s="967"/>
      <c r="AN13" s="967"/>
      <c r="AO13" s="967"/>
      <c r="AP13" s="967"/>
      <c r="AR13" s="943" t="e">
        <f>+IF(#REF!="yes",D13,AS13-AS13*$AR$9)</f>
        <v>#REF!</v>
      </c>
      <c r="AS13" s="943" t="e">
        <f>+IF(#REF!="yes",H13,I13)</f>
        <v>#REF!</v>
      </c>
    </row>
    <row r="14" spans="1:45">
      <c r="A14" s="947"/>
      <c r="B14" s="961" t="s">
        <v>490</v>
      </c>
      <c r="C14" s="962" t="s">
        <v>67</v>
      </c>
      <c r="D14" s="963">
        <f t="shared" si="0"/>
        <v>53.685284807523544</v>
      </c>
      <c r="E14" s="963">
        <f t="shared" si="1"/>
        <v>58.422221702305038</v>
      </c>
      <c r="F14" s="968">
        <f>+Valuation!H67*Control!D42</f>
        <v>63.159158597086524</v>
      </c>
      <c r="G14" s="963">
        <f t="shared" si="2"/>
        <v>67.89609549186801</v>
      </c>
      <c r="H14" s="963">
        <f t="shared" si="3"/>
        <v>72.633032386649504</v>
      </c>
      <c r="I14" s="956"/>
      <c r="K14" s="965">
        <f t="shared" si="4"/>
        <v>53.685284807523544</v>
      </c>
      <c r="L14" s="965">
        <f t="shared" si="5"/>
        <v>9.4738737895629797</v>
      </c>
      <c r="M14" s="966">
        <f t="shared" si="6"/>
        <v>9.4738737895629797</v>
      </c>
      <c r="N14" s="958"/>
      <c r="O14" s="958"/>
      <c r="P14" s="956"/>
      <c r="Q14" s="956"/>
      <c r="R14" s="956"/>
      <c r="AH14" s="967"/>
      <c r="AI14" s="967"/>
      <c r="AJ14" s="967"/>
      <c r="AK14" s="967"/>
      <c r="AL14" s="967"/>
      <c r="AM14" s="967"/>
      <c r="AN14" s="967"/>
      <c r="AO14" s="967"/>
      <c r="AP14" s="967"/>
      <c r="AR14" s="943" t="e">
        <f>+IF(#REF!="yes",D14,AS14-AS14*$AR$9)</f>
        <v>#REF!</v>
      </c>
      <c r="AS14" s="943" t="e">
        <f>+IF(#REF!="yes",H14,I14)</f>
        <v>#REF!</v>
      </c>
    </row>
    <row r="15" spans="1:45">
      <c r="A15" s="947"/>
      <c r="B15" s="961" t="s">
        <v>484</v>
      </c>
      <c r="C15" s="962" t="s">
        <v>67</v>
      </c>
      <c r="D15" s="963">
        <f t="shared" si="0"/>
        <v>28.039418362940925</v>
      </c>
      <c r="E15" s="963">
        <f t="shared" si="1"/>
        <v>30.513484689082773</v>
      </c>
      <c r="F15" s="968">
        <f>+Control!D39*Control!D42</f>
        <v>32.987551015224618</v>
      </c>
      <c r="G15" s="963">
        <f t="shared" si="2"/>
        <v>35.461617341366463</v>
      </c>
      <c r="H15" s="963">
        <f t="shared" si="3"/>
        <v>37.935683667508307</v>
      </c>
      <c r="I15" s="956"/>
      <c r="K15" s="965">
        <f t="shared" si="4"/>
        <v>28.039418362940925</v>
      </c>
      <c r="L15" s="965">
        <f t="shared" si="5"/>
        <v>4.948132652283693</v>
      </c>
      <c r="M15" s="966">
        <f t="shared" si="6"/>
        <v>4.9481326522836895</v>
      </c>
      <c r="N15" s="958"/>
      <c r="O15" s="958"/>
      <c r="P15" s="956"/>
      <c r="Q15" s="956"/>
      <c r="R15" s="956"/>
      <c r="AH15" s="967"/>
      <c r="AI15" s="967"/>
      <c r="AJ15" s="967"/>
      <c r="AK15" s="967"/>
      <c r="AL15" s="967"/>
      <c r="AM15" s="967"/>
      <c r="AN15" s="967"/>
      <c r="AO15" s="967"/>
      <c r="AP15" s="967"/>
      <c r="AR15" s="943" t="e">
        <f>+IF(#REF!="yes",D15,AS15-AS15*$AR$9)</f>
        <v>#REF!</v>
      </c>
      <c r="AS15" s="943" t="e">
        <f>+IF(#REF!="yes",H15,I15)</f>
        <v>#REF!</v>
      </c>
    </row>
    <row r="16" spans="1:45">
      <c r="A16" s="947"/>
      <c r="B16" s="961" t="s">
        <v>483</v>
      </c>
      <c r="C16" s="962" t="s">
        <v>67</v>
      </c>
      <c r="D16" s="963">
        <f t="shared" si="0"/>
        <v>32.014676930165578</v>
      </c>
      <c r="E16" s="963">
        <f t="shared" si="1"/>
        <v>34.83950136518019</v>
      </c>
      <c r="F16" s="964">
        <v>37.664325800194803</v>
      </c>
      <c r="G16" s="963">
        <f t="shared" si="2"/>
        <v>40.489150235209408</v>
      </c>
      <c r="H16" s="963">
        <f t="shared" si="3"/>
        <v>43.31397467022402</v>
      </c>
      <c r="I16" s="956"/>
      <c r="K16" s="965">
        <f t="shared" si="4"/>
        <v>32.014676930165578</v>
      </c>
      <c r="L16" s="965">
        <f t="shared" si="5"/>
        <v>5.6496488700292247</v>
      </c>
      <c r="M16" s="966">
        <f t="shared" si="6"/>
        <v>5.6496488700292176</v>
      </c>
      <c r="N16" s="958"/>
      <c r="O16" s="958"/>
      <c r="P16" s="956"/>
      <c r="Q16" s="956"/>
      <c r="R16" s="956"/>
      <c r="AH16" s="967"/>
      <c r="AI16" s="967"/>
      <c r="AJ16" s="967"/>
      <c r="AK16" s="967"/>
      <c r="AL16" s="967"/>
      <c r="AM16" s="967"/>
      <c r="AN16" s="967"/>
      <c r="AO16" s="967"/>
      <c r="AP16" s="967"/>
      <c r="AR16" s="943" t="e">
        <f>+IF(#REF!="yes",D16,AS16-AS16*$AR$9)</f>
        <v>#REF!</v>
      </c>
      <c r="AS16" s="943" t="e">
        <f>+IF(#REF!="yes",H16,I16)</f>
        <v>#REF!</v>
      </c>
    </row>
    <row r="17" spans="1:45">
      <c r="A17" s="947"/>
      <c r="B17" s="961" t="s">
        <v>480</v>
      </c>
      <c r="C17" s="962" t="s">
        <v>67</v>
      </c>
      <c r="D17" s="963">
        <f t="shared" si="0"/>
        <v>36.914539483974742</v>
      </c>
      <c r="E17" s="963">
        <f t="shared" si="1"/>
        <v>40.171704732560755</v>
      </c>
      <c r="F17" s="968">
        <f>+Valuation!H30</f>
        <v>43.428869981146761</v>
      </c>
      <c r="G17" s="963">
        <f t="shared" si="2"/>
        <v>46.686035229732767</v>
      </c>
      <c r="H17" s="963">
        <f t="shared" si="3"/>
        <v>49.943200478318772</v>
      </c>
      <c r="I17" s="956"/>
      <c r="K17" s="965">
        <f t="shared" si="4"/>
        <v>36.914539483974742</v>
      </c>
      <c r="L17" s="965">
        <f t="shared" si="5"/>
        <v>6.5143304971720184</v>
      </c>
      <c r="M17" s="966">
        <f t="shared" si="6"/>
        <v>6.5143304971720113</v>
      </c>
      <c r="N17" s="958"/>
      <c r="O17" s="958"/>
      <c r="P17" s="956"/>
      <c r="Q17" s="956"/>
      <c r="R17" s="956"/>
      <c r="AH17" s="967"/>
      <c r="AI17" s="967"/>
      <c r="AJ17" s="967"/>
      <c r="AK17" s="967"/>
      <c r="AL17" s="967"/>
      <c r="AM17" s="967"/>
      <c r="AN17" s="967"/>
      <c r="AO17" s="967"/>
      <c r="AP17" s="967"/>
      <c r="AR17" s="943" t="e">
        <f>+IF(#REF!="yes",D17,AS17-AS17*$AR$9)</f>
        <v>#REF!</v>
      </c>
      <c r="AS17" s="943" t="e">
        <f>+IF(#REF!="yes",H17,I17)</f>
        <v>#REF!</v>
      </c>
    </row>
    <row r="18" spans="1:45" hidden="1" outlineLevel="1">
      <c r="A18" s="947"/>
      <c r="B18" s="961" t="s">
        <v>149</v>
      </c>
      <c r="C18" s="969"/>
      <c r="D18" s="964">
        <f>D17-20</f>
        <v>16.914539483974742</v>
      </c>
      <c r="E18" s="963">
        <f t="shared" ref="E18:G25" si="7">AVERAGE(D18,F18)</f>
        <v>21.14317435496843</v>
      </c>
      <c r="F18" s="963">
        <f t="shared" ref="F18:F25" si="8">AVERAGE(D18,H18)</f>
        <v>25.371809225962114</v>
      </c>
      <c r="G18" s="963">
        <f t="shared" si="7"/>
        <v>29.600444096955798</v>
      </c>
      <c r="H18" s="964">
        <f t="shared" ref="H18:H26" si="9">D18*2</f>
        <v>33.829078967949485</v>
      </c>
      <c r="I18" s="956"/>
      <c r="K18" s="958">
        <f t="shared" si="4"/>
        <v>16.914539483974742</v>
      </c>
      <c r="L18" s="958">
        <f t="shared" ref="L18:O26" si="10">E18-D18</f>
        <v>4.2286348709936874</v>
      </c>
      <c r="M18" s="958">
        <f t="shared" si="10"/>
        <v>4.2286348709936838</v>
      </c>
      <c r="N18" s="958">
        <f t="shared" si="10"/>
        <v>4.2286348709936838</v>
      </c>
      <c r="O18" s="958">
        <f t="shared" si="10"/>
        <v>4.2286348709936874</v>
      </c>
      <c r="P18" s="956"/>
      <c r="Q18" s="956"/>
      <c r="R18" s="956"/>
      <c r="AH18" s="967"/>
      <c r="AI18" s="967"/>
      <c r="AJ18" s="967"/>
      <c r="AK18" s="967"/>
      <c r="AL18" s="967"/>
      <c r="AM18" s="967"/>
      <c r="AN18" s="967"/>
      <c r="AO18" s="967"/>
      <c r="AP18" s="967"/>
      <c r="AR18" s="943" t="e">
        <f t="shared" ref="AR18:AR27" si="11">+IF(D18="yes",G18,AS18-AS18*$AR$9)</f>
        <v>#REF!</v>
      </c>
      <c r="AS18" s="943">
        <f t="shared" ref="AS18:AS27" si="12">+IF(D18="yes",H18,I18)</f>
        <v>0</v>
      </c>
    </row>
    <row r="19" spans="1:45" hidden="1" outlineLevel="1">
      <c r="A19" s="947"/>
      <c r="B19" s="961" t="s">
        <v>149</v>
      </c>
      <c r="C19" s="969"/>
      <c r="D19" s="964">
        <f>D18-20</f>
        <v>-3.0854605160252575</v>
      </c>
      <c r="E19" s="963">
        <f t="shared" si="7"/>
        <v>-3.8568256450315719</v>
      </c>
      <c r="F19" s="963">
        <f t="shared" si="8"/>
        <v>-4.6281907740378863</v>
      </c>
      <c r="G19" s="963">
        <f t="shared" si="7"/>
        <v>-5.3995559030442006</v>
      </c>
      <c r="H19" s="964">
        <f t="shared" si="9"/>
        <v>-6.170921032050515</v>
      </c>
      <c r="I19" s="956"/>
      <c r="K19" s="958">
        <f t="shared" si="4"/>
        <v>-3.0854605160252575</v>
      </c>
      <c r="L19" s="958">
        <f t="shared" si="10"/>
        <v>-0.77136512900631438</v>
      </c>
      <c r="M19" s="958">
        <f t="shared" si="10"/>
        <v>-0.77136512900631438</v>
      </c>
      <c r="N19" s="958">
        <f t="shared" si="10"/>
        <v>-0.77136512900631438</v>
      </c>
      <c r="O19" s="958">
        <f t="shared" si="10"/>
        <v>-0.77136512900631438</v>
      </c>
      <c r="P19" s="956"/>
      <c r="Q19" s="956"/>
      <c r="R19" s="956"/>
      <c r="AH19" s="967"/>
      <c r="AI19" s="967"/>
      <c r="AJ19" s="967"/>
      <c r="AK19" s="967"/>
      <c r="AL19" s="967"/>
      <c r="AM19" s="967"/>
      <c r="AN19" s="967"/>
      <c r="AO19" s="967"/>
      <c r="AP19" s="967"/>
      <c r="AR19" s="943" t="e">
        <f t="shared" si="11"/>
        <v>#REF!</v>
      </c>
      <c r="AS19" s="943">
        <f>+IF(D19="yes",H19,I19)</f>
        <v>0</v>
      </c>
    </row>
    <row r="20" spans="1:45" hidden="1" outlineLevel="1">
      <c r="A20" s="947"/>
      <c r="B20" s="961" t="s">
        <v>149</v>
      </c>
      <c r="C20" s="969"/>
      <c r="D20" s="964">
        <v>10</v>
      </c>
      <c r="E20" s="963">
        <f t="shared" si="7"/>
        <v>12.5</v>
      </c>
      <c r="F20" s="963">
        <f t="shared" si="8"/>
        <v>15</v>
      </c>
      <c r="G20" s="963">
        <f t="shared" si="7"/>
        <v>17.5</v>
      </c>
      <c r="H20" s="964">
        <f t="shared" si="9"/>
        <v>20</v>
      </c>
      <c r="I20" s="956"/>
      <c r="K20" s="958">
        <f t="shared" si="4"/>
        <v>10</v>
      </c>
      <c r="L20" s="958">
        <f t="shared" si="10"/>
        <v>2.5</v>
      </c>
      <c r="M20" s="958">
        <f t="shared" si="10"/>
        <v>2.5</v>
      </c>
      <c r="N20" s="958">
        <f t="shared" si="10"/>
        <v>2.5</v>
      </c>
      <c r="O20" s="958">
        <f t="shared" si="10"/>
        <v>2.5</v>
      </c>
      <c r="P20" s="956"/>
      <c r="Q20" s="956"/>
      <c r="R20" s="956"/>
      <c r="AH20" s="967"/>
      <c r="AI20" s="967"/>
      <c r="AJ20" s="967"/>
      <c r="AK20" s="967"/>
      <c r="AL20" s="967"/>
      <c r="AM20" s="967"/>
      <c r="AN20" s="967"/>
      <c r="AO20" s="967"/>
      <c r="AP20" s="967"/>
      <c r="AR20" s="943" t="e">
        <f t="shared" si="11"/>
        <v>#REF!</v>
      </c>
      <c r="AS20" s="943">
        <f>+IF(D20="yes",H20,I20)</f>
        <v>0</v>
      </c>
    </row>
    <row r="21" spans="1:45" hidden="1" outlineLevel="1">
      <c r="A21" s="947"/>
      <c r="B21" s="961" t="s">
        <v>149</v>
      </c>
      <c r="C21" s="969"/>
      <c r="D21" s="964">
        <v>25</v>
      </c>
      <c r="E21" s="963">
        <f t="shared" si="7"/>
        <v>31.25</v>
      </c>
      <c r="F21" s="963">
        <f t="shared" si="8"/>
        <v>37.5</v>
      </c>
      <c r="G21" s="963">
        <f t="shared" si="7"/>
        <v>43.75</v>
      </c>
      <c r="H21" s="964">
        <f t="shared" si="9"/>
        <v>50</v>
      </c>
      <c r="I21" s="956"/>
      <c r="K21" s="958">
        <f t="shared" si="4"/>
        <v>25</v>
      </c>
      <c r="L21" s="958">
        <f t="shared" si="10"/>
        <v>6.25</v>
      </c>
      <c r="M21" s="958">
        <f t="shared" si="10"/>
        <v>6.25</v>
      </c>
      <c r="N21" s="958">
        <f t="shared" si="10"/>
        <v>6.25</v>
      </c>
      <c r="O21" s="958">
        <f t="shared" si="10"/>
        <v>6.25</v>
      </c>
      <c r="P21" s="956"/>
      <c r="Q21" s="956"/>
      <c r="R21" s="956"/>
      <c r="AH21" s="967"/>
      <c r="AI21" s="967"/>
      <c r="AJ21" s="967"/>
      <c r="AK21" s="967"/>
      <c r="AL21" s="967"/>
      <c r="AM21" s="967"/>
      <c r="AN21" s="967"/>
      <c r="AO21" s="967"/>
      <c r="AP21" s="967"/>
      <c r="AR21" s="943" t="e">
        <f t="shared" si="11"/>
        <v>#REF!</v>
      </c>
      <c r="AS21" s="943">
        <f>+IF(D21="yes",H21,I21)</f>
        <v>0</v>
      </c>
    </row>
    <row r="22" spans="1:45" hidden="1" outlineLevel="1">
      <c r="A22" s="947"/>
      <c r="B22" s="961" t="s">
        <v>149</v>
      </c>
      <c r="C22" s="969"/>
      <c r="D22" s="964">
        <v>30</v>
      </c>
      <c r="E22" s="963">
        <f t="shared" si="7"/>
        <v>37.5</v>
      </c>
      <c r="F22" s="963">
        <f t="shared" si="8"/>
        <v>45</v>
      </c>
      <c r="G22" s="963">
        <f t="shared" si="7"/>
        <v>52.5</v>
      </c>
      <c r="H22" s="964">
        <f t="shared" si="9"/>
        <v>60</v>
      </c>
      <c r="I22" s="956"/>
      <c r="K22" s="958">
        <f t="shared" si="4"/>
        <v>30</v>
      </c>
      <c r="L22" s="958">
        <f t="shared" si="10"/>
        <v>7.5</v>
      </c>
      <c r="M22" s="958">
        <f t="shared" si="10"/>
        <v>7.5</v>
      </c>
      <c r="N22" s="958">
        <f t="shared" si="10"/>
        <v>7.5</v>
      </c>
      <c r="O22" s="958">
        <f t="shared" si="10"/>
        <v>7.5</v>
      </c>
      <c r="P22" s="956"/>
      <c r="Q22" s="956"/>
      <c r="R22" s="956"/>
      <c r="AH22" s="967"/>
      <c r="AI22" s="967"/>
      <c r="AJ22" s="967"/>
      <c r="AK22" s="967"/>
      <c r="AL22" s="967"/>
      <c r="AM22" s="967"/>
      <c r="AN22" s="967"/>
      <c r="AO22" s="967"/>
      <c r="AP22" s="967"/>
      <c r="AR22" s="943" t="e">
        <f t="shared" si="11"/>
        <v>#REF!</v>
      </c>
      <c r="AS22" s="943">
        <f t="shared" si="12"/>
        <v>0</v>
      </c>
    </row>
    <row r="23" spans="1:45" hidden="1" outlineLevel="1">
      <c r="A23" s="947"/>
      <c r="B23" s="961" t="s">
        <v>149</v>
      </c>
      <c r="C23" s="969"/>
      <c r="D23" s="964">
        <v>40</v>
      </c>
      <c r="E23" s="963">
        <f t="shared" si="7"/>
        <v>50</v>
      </c>
      <c r="F23" s="963">
        <f t="shared" si="8"/>
        <v>60</v>
      </c>
      <c r="G23" s="963">
        <f t="shared" si="7"/>
        <v>70</v>
      </c>
      <c r="H23" s="964">
        <f t="shared" si="9"/>
        <v>80</v>
      </c>
      <c r="I23" s="956"/>
      <c r="K23" s="958">
        <f t="shared" si="4"/>
        <v>40</v>
      </c>
      <c r="L23" s="958">
        <f t="shared" si="10"/>
        <v>10</v>
      </c>
      <c r="M23" s="958">
        <f t="shared" si="10"/>
        <v>10</v>
      </c>
      <c r="N23" s="958">
        <f t="shared" si="10"/>
        <v>10</v>
      </c>
      <c r="O23" s="958">
        <f t="shared" si="10"/>
        <v>10</v>
      </c>
      <c r="P23" s="956"/>
      <c r="Q23" s="956"/>
      <c r="R23" s="956"/>
      <c r="AH23" s="967"/>
      <c r="AI23" s="967"/>
      <c r="AJ23" s="967"/>
      <c r="AK23" s="967"/>
      <c r="AL23" s="967"/>
      <c r="AM23" s="967"/>
      <c r="AN23" s="967"/>
      <c r="AO23" s="967"/>
      <c r="AP23" s="967"/>
      <c r="AR23" s="943" t="e">
        <f t="shared" si="11"/>
        <v>#REF!</v>
      </c>
      <c r="AS23" s="943">
        <f t="shared" si="12"/>
        <v>0</v>
      </c>
    </row>
    <row r="24" spans="1:45" hidden="1" outlineLevel="1">
      <c r="A24" s="947"/>
      <c r="B24" s="961" t="s">
        <v>149</v>
      </c>
      <c r="C24" s="969"/>
      <c r="D24" s="964">
        <v>100</v>
      </c>
      <c r="E24" s="963">
        <f t="shared" si="7"/>
        <v>125</v>
      </c>
      <c r="F24" s="963">
        <f t="shared" si="8"/>
        <v>150</v>
      </c>
      <c r="G24" s="963">
        <f t="shared" si="7"/>
        <v>175</v>
      </c>
      <c r="H24" s="964">
        <f t="shared" si="9"/>
        <v>200</v>
      </c>
      <c r="I24" s="956"/>
      <c r="K24" s="958">
        <f t="shared" si="4"/>
        <v>100</v>
      </c>
      <c r="L24" s="958">
        <f t="shared" si="10"/>
        <v>25</v>
      </c>
      <c r="M24" s="958">
        <f t="shared" si="10"/>
        <v>25</v>
      </c>
      <c r="N24" s="958">
        <f t="shared" si="10"/>
        <v>25</v>
      </c>
      <c r="O24" s="958">
        <f t="shared" si="10"/>
        <v>25</v>
      </c>
      <c r="P24" s="956"/>
      <c r="Q24" s="956"/>
      <c r="R24" s="956"/>
      <c r="AH24" s="967"/>
      <c r="AI24" s="967"/>
      <c r="AJ24" s="967"/>
      <c r="AK24" s="967"/>
      <c r="AL24" s="967"/>
      <c r="AM24" s="967"/>
      <c r="AN24" s="967"/>
      <c r="AO24" s="967"/>
      <c r="AP24" s="967"/>
      <c r="AR24" s="943" t="e">
        <f t="shared" si="11"/>
        <v>#REF!</v>
      </c>
      <c r="AS24" s="943">
        <f t="shared" si="12"/>
        <v>0</v>
      </c>
    </row>
    <row r="25" spans="1:45" hidden="1" outlineLevel="1">
      <c r="A25" s="947"/>
      <c r="B25" s="970" t="s">
        <v>149</v>
      </c>
      <c r="C25" s="971"/>
      <c r="D25" s="972">
        <v>50</v>
      </c>
      <c r="E25" s="973">
        <f t="shared" si="7"/>
        <v>62.5</v>
      </c>
      <c r="F25" s="973">
        <f t="shared" si="8"/>
        <v>75</v>
      </c>
      <c r="G25" s="973">
        <f t="shared" si="7"/>
        <v>87.5</v>
      </c>
      <c r="H25" s="964">
        <f t="shared" si="9"/>
        <v>100</v>
      </c>
      <c r="I25" s="956"/>
      <c r="K25" s="958">
        <f t="shared" si="4"/>
        <v>50</v>
      </c>
      <c r="L25" s="958">
        <f t="shared" si="10"/>
        <v>12.5</v>
      </c>
      <c r="M25" s="958">
        <f t="shared" si="10"/>
        <v>12.5</v>
      </c>
      <c r="N25" s="958">
        <f t="shared" si="10"/>
        <v>12.5</v>
      </c>
      <c r="O25" s="958">
        <f t="shared" si="10"/>
        <v>12.5</v>
      </c>
      <c r="P25" s="956"/>
      <c r="Q25" s="956"/>
      <c r="R25" s="956"/>
      <c r="AH25" s="967"/>
      <c r="AI25" s="967"/>
      <c r="AJ25" s="967"/>
      <c r="AK25" s="967"/>
      <c r="AL25" s="967"/>
      <c r="AM25" s="967"/>
      <c r="AN25" s="967"/>
      <c r="AO25" s="967"/>
      <c r="AP25" s="967"/>
      <c r="AR25" s="943" t="e">
        <f t="shared" si="11"/>
        <v>#REF!</v>
      </c>
      <c r="AS25" s="943">
        <f t="shared" si="12"/>
        <v>0</v>
      </c>
    </row>
    <row r="26" spans="1:45" hidden="1" outlineLevel="1">
      <c r="A26" s="947"/>
      <c r="B26" s="961" t="s">
        <v>148</v>
      </c>
      <c r="C26" s="969"/>
      <c r="D26" s="964">
        <v>10</v>
      </c>
      <c r="E26" s="963"/>
      <c r="F26" s="963"/>
      <c r="G26" s="963"/>
      <c r="H26" s="964">
        <f t="shared" si="9"/>
        <v>20</v>
      </c>
      <c r="I26" s="956"/>
      <c r="K26" s="958">
        <f t="shared" si="4"/>
        <v>10</v>
      </c>
      <c r="L26" s="958">
        <f t="shared" si="10"/>
        <v>-10</v>
      </c>
      <c r="M26" s="958">
        <f t="shared" si="10"/>
        <v>0</v>
      </c>
      <c r="N26" s="958">
        <f t="shared" si="10"/>
        <v>0</v>
      </c>
      <c r="O26" s="958">
        <f t="shared" si="10"/>
        <v>20</v>
      </c>
      <c r="P26" s="956"/>
      <c r="Q26" s="956"/>
      <c r="R26" s="956"/>
      <c r="AH26" s="967"/>
      <c r="AI26" s="967"/>
      <c r="AJ26" s="967"/>
      <c r="AK26" s="967"/>
      <c r="AL26" s="967"/>
      <c r="AM26" s="967"/>
      <c r="AN26" s="967"/>
      <c r="AO26" s="967"/>
      <c r="AP26" s="967"/>
      <c r="AR26" s="943" t="e">
        <f t="shared" si="11"/>
        <v>#REF!</v>
      </c>
      <c r="AS26" s="943">
        <f t="shared" si="12"/>
        <v>0</v>
      </c>
    </row>
    <row r="27" spans="1:45" collapsed="1">
      <c r="A27" s="947"/>
      <c r="C27" s="974"/>
      <c r="D27" s="975"/>
      <c r="E27" s="975"/>
      <c r="F27" s="975"/>
      <c r="G27" s="976"/>
      <c r="H27" s="976"/>
      <c r="I27" s="956"/>
      <c r="K27" s="956"/>
      <c r="L27" s="956"/>
      <c r="M27" s="956"/>
      <c r="N27" s="956"/>
      <c r="O27" s="956"/>
      <c r="P27" s="956"/>
      <c r="Q27" s="956"/>
      <c r="R27" s="956"/>
      <c r="AH27" s="967"/>
      <c r="AI27" s="967"/>
      <c r="AJ27" s="967"/>
      <c r="AK27" s="967"/>
      <c r="AL27" s="967"/>
      <c r="AM27" s="967"/>
      <c r="AN27" s="967"/>
      <c r="AO27" s="967"/>
      <c r="AP27" s="967"/>
      <c r="AR27" s="943" t="e">
        <f t="shared" si="11"/>
        <v>#REF!</v>
      </c>
      <c r="AS27" s="943">
        <f t="shared" si="12"/>
        <v>0</v>
      </c>
    </row>
    <row r="28" spans="1:45">
      <c r="A28" s="947"/>
      <c r="B28" s="977" t="s">
        <v>150</v>
      </c>
      <c r="C28" s="978" t="s">
        <v>67</v>
      </c>
      <c r="D28" s="979">
        <f>+E28</f>
        <v>46.754198799999926</v>
      </c>
      <c r="E28" s="979">
        <f>+F28</f>
        <v>46.754198799999926</v>
      </c>
      <c r="F28" s="980">
        <f>+Control!D44</f>
        <v>46.754198799999926</v>
      </c>
      <c r="G28" s="979">
        <f t="shared" ref="G28:H28" si="13">F28</f>
        <v>46.754198799999926</v>
      </c>
      <c r="H28" s="979">
        <f t="shared" si="13"/>
        <v>46.754198799999926</v>
      </c>
      <c r="I28" s="956"/>
      <c r="K28" s="981">
        <v>1000</v>
      </c>
      <c r="L28" s="981">
        <v>0</v>
      </c>
      <c r="M28" s="982">
        <v>0</v>
      </c>
      <c r="N28" s="983"/>
      <c r="O28" s="983"/>
      <c r="P28" s="956"/>
      <c r="Q28" s="956"/>
      <c r="R28" s="956"/>
      <c r="AH28" s="967"/>
      <c r="AI28" s="967"/>
      <c r="AJ28" s="967"/>
      <c r="AK28" s="967"/>
      <c r="AL28" s="967"/>
      <c r="AM28" s="967"/>
      <c r="AN28" s="967"/>
      <c r="AO28" s="967"/>
      <c r="AP28" s="967"/>
    </row>
    <row r="29" spans="1:45">
      <c r="A29" s="947"/>
      <c r="C29" s="974"/>
      <c r="D29" s="951"/>
      <c r="E29" s="951"/>
      <c r="F29" s="951"/>
      <c r="I29" s="956"/>
      <c r="J29" s="956"/>
      <c r="K29" s="956"/>
      <c r="L29" s="956"/>
      <c r="M29" s="956"/>
      <c r="N29" s="956"/>
      <c r="O29" s="956"/>
      <c r="P29" s="956"/>
      <c r="Q29" s="956"/>
      <c r="R29" s="956"/>
      <c r="AH29" s="967"/>
      <c r="AI29" s="967"/>
      <c r="AJ29" s="967"/>
      <c r="AK29" s="967"/>
      <c r="AL29" s="967"/>
      <c r="AM29" s="967"/>
      <c r="AN29" s="967"/>
      <c r="AO29" s="967"/>
      <c r="AP29" s="967"/>
    </row>
    <row r="30" spans="1:45">
      <c r="A30" s="947"/>
      <c r="B30" s="977" t="s">
        <v>482</v>
      </c>
      <c r="C30" s="978" t="s">
        <v>14</v>
      </c>
      <c r="D30" s="984">
        <v>0.15</v>
      </c>
      <c r="I30" s="956"/>
      <c r="J30" s="956"/>
      <c r="K30" s="956"/>
      <c r="L30" s="956"/>
      <c r="M30" s="956"/>
      <c r="N30" s="956"/>
      <c r="O30" s="956"/>
      <c r="P30" s="956"/>
      <c r="Q30" s="951"/>
      <c r="R30" s="951"/>
    </row>
    <row r="32" spans="1:45" s="950" customFormat="1">
      <c r="A32" s="948" t="s">
        <v>24</v>
      </c>
      <c r="B32" s="949" t="s">
        <v>151</v>
      </c>
      <c r="C32" s="949"/>
      <c r="D32" s="949"/>
      <c r="E32" s="949"/>
      <c r="F32" s="949"/>
      <c r="G32" s="949"/>
      <c r="H32" s="949"/>
      <c r="J32" s="949" t="s">
        <v>704</v>
      </c>
      <c r="K32" s="949"/>
      <c r="L32" s="949"/>
      <c r="M32" s="949"/>
      <c r="N32" s="949"/>
      <c r="O32" s="949"/>
      <c r="P32" s="949"/>
      <c r="Q32" s="949"/>
      <c r="R32" s="949"/>
    </row>
    <row r="33" spans="1:45">
      <c r="A33" s="947"/>
      <c r="B33" s="951"/>
      <c r="C33" s="951"/>
      <c r="D33" s="951"/>
      <c r="E33" s="951"/>
      <c r="F33" s="951"/>
      <c r="G33" s="951"/>
      <c r="H33" s="951"/>
      <c r="I33" s="951"/>
      <c r="J33" s="951"/>
      <c r="K33" s="951"/>
      <c r="L33" s="951"/>
      <c r="M33" s="951"/>
      <c r="N33" s="951"/>
      <c r="O33" s="951"/>
      <c r="P33" s="951"/>
      <c r="Q33" s="951"/>
      <c r="R33" s="951"/>
      <c r="AR33" s="952" t="e">
        <f>+#REF!</f>
        <v>#REF!</v>
      </c>
    </row>
    <row r="35" spans="1:45">
      <c r="A35" s="947"/>
      <c r="B35" s="953" t="s">
        <v>138</v>
      </c>
      <c r="C35" s="954" t="s">
        <v>12</v>
      </c>
      <c r="D35" s="955" t="s">
        <v>139</v>
      </c>
      <c r="E35" s="955" t="s">
        <v>140</v>
      </c>
      <c r="F35" s="955" t="s">
        <v>136</v>
      </c>
      <c r="G35" s="955" t="s">
        <v>141</v>
      </c>
      <c r="H35" s="955" t="s">
        <v>142</v>
      </c>
      <c r="I35" s="956"/>
      <c r="K35" s="957" t="s">
        <v>143</v>
      </c>
      <c r="L35" s="957" t="s">
        <v>144</v>
      </c>
      <c r="M35" s="957" t="s">
        <v>145</v>
      </c>
      <c r="N35" s="958"/>
      <c r="P35" s="956"/>
      <c r="Q35" s="956"/>
      <c r="R35" s="956"/>
      <c r="AR35" s="959" t="s">
        <v>146</v>
      </c>
      <c r="AS35" s="960" t="s">
        <v>147</v>
      </c>
    </row>
    <row r="36" spans="1:45">
      <c r="A36" s="947"/>
      <c r="B36" s="961" t="s">
        <v>492</v>
      </c>
      <c r="C36" s="962" t="s">
        <v>113</v>
      </c>
      <c r="D36" s="985">
        <f>+D12/Control!$D$42</f>
        <v>7.956437985424837</v>
      </c>
      <c r="E36" s="985">
        <f>+E12/Control!$D$42</f>
        <v>8.6584766311976171</v>
      </c>
      <c r="F36" s="985">
        <f>+F12/Control!$D$42</f>
        <v>9.3605152769703981</v>
      </c>
      <c r="G36" s="985">
        <f>+G12/Control!$D$42</f>
        <v>10.062553922743177</v>
      </c>
      <c r="H36" s="985">
        <f>+H12/Control!$D$42</f>
        <v>10.764592568515956</v>
      </c>
      <c r="I36" s="956"/>
      <c r="K36" s="965">
        <f t="shared" ref="K36:K50" si="14">D36</f>
        <v>7.956437985424837</v>
      </c>
      <c r="L36" s="965">
        <f t="shared" ref="L36:L41" si="15">F36-D36</f>
        <v>1.404077291545561</v>
      </c>
      <c r="M36" s="966">
        <f t="shared" ref="M36:M41" si="16">H36-F36</f>
        <v>1.4040772915455584</v>
      </c>
      <c r="N36" s="958"/>
      <c r="O36" s="958"/>
      <c r="P36" s="956"/>
      <c r="Q36" s="956"/>
      <c r="R36" s="956"/>
      <c r="AH36" s="967"/>
      <c r="AI36" s="967"/>
      <c r="AJ36" s="967"/>
      <c r="AK36" s="967"/>
      <c r="AL36" s="967"/>
      <c r="AM36" s="967"/>
      <c r="AN36" s="967"/>
      <c r="AO36" s="967"/>
      <c r="AP36" s="967"/>
      <c r="AR36" s="943" t="e">
        <f>+IF(#REF!="yes",D36,AS36-AS36*$AR$33)</f>
        <v>#REF!</v>
      </c>
      <c r="AS36" s="943" t="e">
        <f>+IF(#REF!="yes",H36,I36)</f>
        <v>#REF!</v>
      </c>
    </row>
    <row r="37" spans="1:45">
      <c r="A37" s="947"/>
      <c r="B37" s="961" t="s">
        <v>491</v>
      </c>
      <c r="C37" s="962" t="s">
        <v>113</v>
      </c>
      <c r="D37" s="985">
        <f>+D13/Control!$D$42</f>
        <v>7.1960255222791494</v>
      </c>
      <c r="E37" s="985">
        <f>+E13/Control!$D$42</f>
        <v>7.8309689507155458</v>
      </c>
      <c r="F37" s="985">
        <f>+F13/Control!$D$42</f>
        <v>8.4659123791519413</v>
      </c>
      <c r="G37" s="985">
        <f>+G13/Control!$D$42</f>
        <v>9.1008558075883368</v>
      </c>
      <c r="H37" s="985">
        <f>+H13/Control!$D$42</f>
        <v>9.7357992360247305</v>
      </c>
      <c r="I37" s="956"/>
      <c r="K37" s="965">
        <f t="shared" si="14"/>
        <v>7.1960255222791494</v>
      </c>
      <c r="L37" s="965">
        <f t="shared" si="15"/>
        <v>1.2698868568727919</v>
      </c>
      <c r="M37" s="966">
        <f t="shared" si="16"/>
        <v>1.2698868568727892</v>
      </c>
      <c r="N37" s="958"/>
      <c r="O37" s="958"/>
      <c r="P37" s="956"/>
      <c r="Q37" s="956"/>
      <c r="R37" s="956"/>
      <c r="AH37" s="967"/>
      <c r="AI37" s="967"/>
      <c r="AJ37" s="967"/>
      <c r="AK37" s="967"/>
      <c r="AL37" s="967"/>
      <c r="AM37" s="967"/>
      <c r="AN37" s="967"/>
      <c r="AO37" s="967"/>
      <c r="AP37" s="967"/>
      <c r="AR37" s="943" t="e">
        <f>+IF(#REF!="yes",D37,AS37-AS37*$AR$33)</f>
        <v>#REF!</v>
      </c>
      <c r="AS37" s="943" t="e">
        <f>+IF(#REF!="yes",H37,I37)</f>
        <v>#REF!</v>
      </c>
    </row>
    <row r="38" spans="1:45">
      <c r="A38" s="947"/>
      <c r="B38" s="961" t="s">
        <v>490</v>
      </c>
      <c r="C38" s="962" t="s">
        <v>113</v>
      </c>
      <c r="D38" s="985">
        <f>+D14/Control!$D$42</f>
        <v>11.48245209744106</v>
      </c>
      <c r="E38" s="985">
        <f>+E14/Control!$D$42</f>
        <v>12.495609635450567</v>
      </c>
      <c r="F38" s="985">
        <f>+F14/Control!$D$42</f>
        <v>13.50876717346007</v>
      </c>
      <c r="G38" s="985">
        <f>+G14/Control!$D$42</f>
        <v>14.521924711469575</v>
      </c>
      <c r="H38" s="985">
        <f>+H14/Control!$D$42</f>
        <v>15.535082249479082</v>
      </c>
      <c r="I38" s="956"/>
      <c r="K38" s="965">
        <f t="shared" si="14"/>
        <v>11.48245209744106</v>
      </c>
      <c r="L38" s="965">
        <f t="shared" si="15"/>
        <v>2.0263150760190101</v>
      </c>
      <c r="M38" s="966">
        <f t="shared" si="16"/>
        <v>2.0263150760190118</v>
      </c>
      <c r="N38" s="958"/>
      <c r="O38" s="958"/>
      <c r="P38" s="956"/>
      <c r="Q38" s="956"/>
      <c r="R38" s="956"/>
      <c r="AH38" s="967"/>
      <c r="AI38" s="967"/>
      <c r="AJ38" s="967"/>
      <c r="AK38" s="967"/>
      <c r="AL38" s="967"/>
      <c r="AM38" s="967"/>
      <c r="AN38" s="967"/>
      <c r="AO38" s="967"/>
      <c r="AP38" s="967"/>
      <c r="AR38" s="943" t="e">
        <f>+IF(#REF!="yes",D38,AS38-AS38*$AR$33)</f>
        <v>#REF!</v>
      </c>
      <c r="AS38" s="943" t="e">
        <f>+IF(#REF!="yes",H38,I38)</f>
        <v>#REF!</v>
      </c>
    </row>
    <row r="39" spans="1:45">
      <c r="A39" s="947"/>
      <c r="B39" s="961" t="s">
        <v>484</v>
      </c>
      <c r="C39" s="962" t="s">
        <v>113</v>
      </c>
      <c r="D39" s="985">
        <f>+D15/Control!$D$42</f>
        <v>5.9971979164662681</v>
      </c>
      <c r="E39" s="985">
        <f>+E15/Control!$D$42</f>
        <v>6.5263624385074097</v>
      </c>
      <c r="F39" s="985">
        <f>+F15/Control!$D$42</f>
        <v>7.0555269605485504</v>
      </c>
      <c r="G39" s="985">
        <f>+G15/Control!$D$42</f>
        <v>7.5846914825896921</v>
      </c>
      <c r="H39" s="985">
        <f>+H15/Control!$D$42</f>
        <v>8.1138560046308328</v>
      </c>
      <c r="I39" s="956"/>
      <c r="K39" s="965">
        <f t="shared" si="14"/>
        <v>5.9971979164662681</v>
      </c>
      <c r="L39" s="965">
        <f t="shared" si="15"/>
        <v>1.0583290440822823</v>
      </c>
      <c r="M39" s="966">
        <f t="shared" si="16"/>
        <v>1.0583290440822823</v>
      </c>
      <c r="N39" s="958"/>
      <c r="O39" s="958"/>
      <c r="P39" s="956"/>
      <c r="Q39" s="956"/>
      <c r="R39" s="956"/>
      <c r="AH39" s="967"/>
      <c r="AI39" s="967"/>
      <c r="AJ39" s="967"/>
      <c r="AK39" s="967"/>
      <c r="AL39" s="967"/>
      <c r="AM39" s="967"/>
      <c r="AN39" s="967"/>
      <c r="AO39" s="967"/>
      <c r="AP39" s="967"/>
      <c r="AR39" s="943" t="e">
        <f>+IF(#REF!="yes",D39,AS39-AS39*$AR$33)</f>
        <v>#REF!</v>
      </c>
      <c r="AS39" s="943" t="e">
        <f>+IF(#REF!="yes",H39,I39)</f>
        <v>#REF!</v>
      </c>
    </row>
    <row r="40" spans="1:45">
      <c r="A40" s="947"/>
      <c r="B40" s="961" t="s">
        <v>483</v>
      </c>
      <c r="C40" s="962" t="s">
        <v>113</v>
      </c>
      <c r="D40" s="985">
        <f>+D16/Control!$D$42</f>
        <v>6.8474442407011429</v>
      </c>
      <c r="E40" s="985">
        <f>+E16/Control!$D$42</f>
        <v>7.4516304972335972</v>
      </c>
      <c r="F40" s="985">
        <f>+F16/Control!$D$42</f>
        <v>8.0558167537660523</v>
      </c>
      <c r="G40" s="985">
        <f>+G16/Control!$D$42</f>
        <v>8.6600030102985048</v>
      </c>
      <c r="H40" s="985">
        <f>+H16/Control!$D$42</f>
        <v>9.2641892668309591</v>
      </c>
      <c r="I40" s="956"/>
      <c r="K40" s="965">
        <f t="shared" si="14"/>
        <v>6.8474442407011429</v>
      </c>
      <c r="L40" s="965">
        <f t="shared" si="15"/>
        <v>1.2083725130649094</v>
      </c>
      <c r="M40" s="966">
        <f t="shared" si="16"/>
        <v>1.2083725130649068</v>
      </c>
      <c r="N40" s="958"/>
      <c r="O40" s="958"/>
      <c r="P40" s="956"/>
      <c r="Q40" s="956"/>
      <c r="R40" s="956"/>
      <c r="AH40" s="967"/>
      <c r="AI40" s="967"/>
      <c r="AJ40" s="967"/>
      <c r="AK40" s="967"/>
      <c r="AL40" s="967"/>
      <c r="AM40" s="967"/>
      <c r="AN40" s="967"/>
      <c r="AO40" s="967"/>
      <c r="AP40" s="967"/>
      <c r="AR40" s="943" t="e">
        <f>+IF(#REF!="yes",D40,AS40-AS40*$AR$33)</f>
        <v>#REF!</v>
      </c>
      <c r="AS40" s="943" t="e">
        <f>+IF(#REF!="yes",H40,I40)</f>
        <v>#REF!</v>
      </c>
    </row>
    <row r="41" spans="1:45">
      <c r="A41" s="947"/>
      <c r="B41" s="961" t="s">
        <v>480</v>
      </c>
      <c r="C41" s="962" t="s">
        <v>113</v>
      </c>
      <c r="D41" s="985">
        <f>+D17/Control!$D$42</f>
        <v>7.8954490572886904</v>
      </c>
      <c r="E41" s="985">
        <f>+E17/Control!$D$42</f>
        <v>8.5921063270494589</v>
      </c>
      <c r="F41" s="985">
        <f>+F17/Control!$D$42</f>
        <v>9.2887635968102256</v>
      </c>
      <c r="G41" s="985">
        <f>+G17/Control!$D$42</f>
        <v>9.9854208665709905</v>
      </c>
      <c r="H41" s="985">
        <f>+H17/Control!$D$42</f>
        <v>10.682078136331757</v>
      </c>
      <c r="I41" s="956"/>
      <c r="K41" s="965">
        <f t="shared" si="14"/>
        <v>7.8954490572886904</v>
      </c>
      <c r="L41" s="965">
        <f t="shared" si="15"/>
        <v>1.3933145395215352</v>
      </c>
      <c r="M41" s="966">
        <f t="shared" si="16"/>
        <v>1.3933145395215316</v>
      </c>
      <c r="N41" s="958"/>
      <c r="O41" s="958"/>
      <c r="P41" s="956"/>
      <c r="Q41" s="956"/>
      <c r="R41" s="956"/>
      <c r="AH41" s="967"/>
      <c r="AI41" s="967"/>
      <c r="AJ41" s="967"/>
      <c r="AK41" s="967"/>
      <c r="AL41" s="967"/>
      <c r="AM41" s="967"/>
      <c r="AN41" s="967"/>
      <c r="AO41" s="967"/>
      <c r="AP41" s="967"/>
      <c r="AR41" s="943" t="e">
        <f>+IF(#REF!="yes",D41,AS41-AS41*$AR$33)</f>
        <v>#REF!</v>
      </c>
      <c r="AS41" s="943" t="e">
        <f>+IF(#REF!="yes",H41,I41)</f>
        <v>#REF!</v>
      </c>
    </row>
    <row r="42" spans="1:45" hidden="1" outlineLevel="1">
      <c r="A42" s="947"/>
      <c r="B42" s="961" t="s">
        <v>149</v>
      </c>
      <c r="C42" s="969"/>
      <c r="D42" s="964">
        <f>D41-20</f>
        <v>-12.10455094271131</v>
      </c>
      <c r="E42" s="963">
        <f t="shared" ref="E42:E49" si="17">AVERAGE(D42,F42)</f>
        <v>-15.130688678389136</v>
      </c>
      <c r="F42" s="963">
        <f t="shared" ref="F42:F49" si="18">AVERAGE(D42,H42)</f>
        <v>-18.156826414066963</v>
      </c>
      <c r="G42" s="963">
        <f t="shared" ref="G42:G49" si="19">AVERAGE(F42,H42)</f>
        <v>-21.182964149744791</v>
      </c>
      <c r="H42" s="964">
        <f t="shared" ref="H42:H50" si="20">D42*2</f>
        <v>-24.209101885422619</v>
      </c>
      <c r="I42" s="956"/>
      <c r="K42" s="958">
        <f t="shared" si="14"/>
        <v>-12.10455094271131</v>
      </c>
      <c r="L42" s="958">
        <f t="shared" ref="L42:L50" si="21">E42-D42</f>
        <v>-3.0261377356778265</v>
      </c>
      <c r="M42" s="958">
        <f t="shared" ref="M42:M50" si="22">F42-E42</f>
        <v>-3.0261377356778265</v>
      </c>
      <c r="N42" s="958">
        <f t="shared" ref="N42:N50" si="23">G42-F42</f>
        <v>-3.0261377356778283</v>
      </c>
      <c r="O42" s="958">
        <f t="shared" ref="O42:O50" si="24">H42-G42</f>
        <v>-3.0261377356778283</v>
      </c>
      <c r="P42" s="956"/>
      <c r="Q42" s="956"/>
      <c r="R42" s="956"/>
      <c r="AH42" s="967"/>
      <c r="AI42" s="967"/>
      <c r="AJ42" s="967"/>
      <c r="AK42" s="967"/>
      <c r="AL42" s="967"/>
      <c r="AM42" s="967"/>
      <c r="AN42" s="967"/>
      <c r="AO42" s="967"/>
      <c r="AP42" s="967"/>
      <c r="AR42" s="943" t="e">
        <f t="shared" ref="AR42:AR51" si="25">+IF(D42="yes",G42,AS42-AS42*$AR$33)</f>
        <v>#REF!</v>
      </c>
      <c r="AS42" s="943">
        <f t="shared" ref="AS42:AS51" si="26">+IF(D42="yes",H42,I42)</f>
        <v>0</v>
      </c>
    </row>
    <row r="43" spans="1:45" hidden="1" outlineLevel="1">
      <c r="A43" s="947"/>
      <c r="B43" s="961" t="s">
        <v>149</v>
      </c>
      <c r="C43" s="969"/>
      <c r="D43" s="964">
        <f>D42-20</f>
        <v>-32.104550942711313</v>
      </c>
      <c r="E43" s="963">
        <f t="shared" si="17"/>
        <v>-40.130688678389141</v>
      </c>
      <c r="F43" s="963">
        <f t="shared" si="18"/>
        <v>-48.15682641406697</v>
      </c>
      <c r="G43" s="963">
        <f t="shared" si="19"/>
        <v>-56.182964149744798</v>
      </c>
      <c r="H43" s="964">
        <f t="shared" si="20"/>
        <v>-64.209101885422626</v>
      </c>
      <c r="I43" s="956"/>
      <c r="K43" s="958">
        <f t="shared" si="14"/>
        <v>-32.104550942711313</v>
      </c>
      <c r="L43" s="958">
        <f t="shared" si="21"/>
        <v>-8.0261377356778283</v>
      </c>
      <c r="M43" s="958">
        <f t="shared" si="22"/>
        <v>-8.0261377356778283</v>
      </c>
      <c r="N43" s="958">
        <f t="shared" si="23"/>
        <v>-8.0261377356778283</v>
      </c>
      <c r="O43" s="958">
        <f t="shared" si="24"/>
        <v>-8.0261377356778283</v>
      </c>
      <c r="P43" s="956"/>
      <c r="Q43" s="956"/>
      <c r="R43" s="956"/>
      <c r="AH43" s="967"/>
      <c r="AI43" s="967"/>
      <c r="AJ43" s="967"/>
      <c r="AK43" s="967"/>
      <c r="AL43" s="967"/>
      <c r="AM43" s="967"/>
      <c r="AN43" s="967"/>
      <c r="AO43" s="967"/>
      <c r="AP43" s="967"/>
      <c r="AR43" s="943" t="e">
        <f t="shared" si="25"/>
        <v>#REF!</v>
      </c>
      <c r="AS43" s="943">
        <f t="shared" si="26"/>
        <v>0</v>
      </c>
    </row>
    <row r="44" spans="1:45" hidden="1" outlineLevel="1">
      <c r="A44" s="947"/>
      <c r="B44" s="961" t="s">
        <v>149</v>
      </c>
      <c r="C44" s="969"/>
      <c r="D44" s="964">
        <v>10</v>
      </c>
      <c r="E44" s="963">
        <f t="shared" si="17"/>
        <v>12.5</v>
      </c>
      <c r="F44" s="963">
        <f t="shared" si="18"/>
        <v>15</v>
      </c>
      <c r="G44" s="963">
        <f t="shared" si="19"/>
        <v>17.5</v>
      </c>
      <c r="H44" s="964">
        <f t="shared" si="20"/>
        <v>20</v>
      </c>
      <c r="I44" s="956"/>
      <c r="K44" s="958">
        <f t="shared" si="14"/>
        <v>10</v>
      </c>
      <c r="L44" s="958">
        <f t="shared" si="21"/>
        <v>2.5</v>
      </c>
      <c r="M44" s="958">
        <f t="shared" si="22"/>
        <v>2.5</v>
      </c>
      <c r="N44" s="958">
        <f t="shared" si="23"/>
        <v>2.5</v>
      </c>
      <c r="O44" s="958">
        <f t="shared" si="24"/>
        <v>2.5</v>
      </c>
      <c r="P44" s="956"/>
      <c r="Q44" s="956"/>
      <c r="R44" s="956"/>
      <c r="AH44" s="967"/>
      <c r="AI44" s="967"/>
      <c r="AJ44" s="967"/>
      <c r="AK44" s="967"/>
      <c r="AL44" s="967"/>
      <c r="AM44" s="967"/>
      <c r="AN44" s="967"/>
      <c r="AO44" s="967"/>
      <c r="AP44" s="967"/>
      <c r="AR44" s="943" t="e">
        <f t="shared" si="25"/>
        <v>#REF!</v>
      </c>
      <c r="AS44" s="943">
        <f t="shared" si="26"/>
        <v>0</v>
      </c>
    </row>
    <row r="45" spans="1:45" hidden="1" outlineLevel="1">
      <c r="A45" s="947"/>
      <c r="B45" s="961" t="s">
        <v>149</v>
      </c>
      <c r="C45" s="969"/>
      <c r="D45" s="964">
        <v>25</v>
      </c>
      <c r="E45" s="963">
        <f t="shared" si="17"/>
        <v>31.25</v>
      </c>
      <c r="F45" s="963">
        <f t="shared" si="18"/>
        <v>37.5</v>
      </c>
      <c r="G45" s="963">
        <f t="shared" si="19"/>
        <v>43.75</v>
      </c>
      <c r="H45" s="964">
        <f t="shared" si="20"/>
        <v>50</v>
      </c>
      <c r="I45" s="956"/>
      <c r="K45" s="958">
        <f t="shared" si="14"/>
        <v>25</v>
      </c>
      <c r="L45" s="958">
        <f t="shared" si="21"/>
        <v>6.25</v>
      </c>
      <c r="M45" s="958">
        <f t="shared" si="22"/>
        <v>6.25</v>
      </c>
      <c r="N45" s="958">
        <f t="shared" si="23"/>
        <v>6.25</v>
      </c>
      <c r="O45" s="958">
        <f t="shared" si="24"/>
        <v>6.25</v>
      </c>
      <c r="P45" s="956"/>
      <c r="Q45" s="956"/>
      <c r="R45" s="956"/>
      <c r="AH45" s="967"/>
      <c r="AI45" s="967"/>
      <c r="AJ45" s="967"/>
      <c r="AK45" s="967"/>
      <c r="AL45" s="967"/>
      <c r="AM45" s="967"/>
      <c r="AN45" s="967"/>
      <c r="AO45" s="967"/>
      <c r="AP45" s="967"/>
      <c r="AR45" s="943" t="e">
        <f t="shared" si="25"/>
        <v>#REF!</v>
      </c>
      <c r="AS45" s="943">
        <f t="shared" si="26"/>
        <v>0</v>
      </c>
    </row>
    <row r="46" spans="1:45" hidden="1" outlineLevel="1">
      <c r="A46" s="947"/>
      <c r="B46" s="961" t="s">
        <v>149</v>
      </c>
      <c r="C46" s="969"/>
      <c r="D46" s="964">
        <v>30</v>
      </c>
      <c r="E46" s="963">
        <f t="shared" si="17"/>
        <v>37.5</v>
      </c>
      <c r="F46" s="963">
        <f t="shared" si="18"/>
        <v>45</v>
      </c>
      <c r="G46" s="963">
        <f t="shared" si="19"/>
        <v>52.5</v>
      </c>
      <c r="H46" s="964">
        <f t="shared" si="20"/>
        <v>60</v>
      </c>
      <c r="I46" s="956"/>
      <c r="K46" s="958">
        <f t="shared" si="14"/>
        <v>30</v>
      </c>
      <c r="L46" s="958">
        <f t="shared" si="21"/>
        <v>7.5</v>
      </c>
      <c r="M46" s="958">
        <f t="shared" si="22"/>
        <v>7.5</v>
      </c>
      <c r="N46" s="958">
        <f t="shared" si="23"/>
        <v>7.5</v>
      </c>
      <c r="O46" s="958">
        <f t="shared" si="24"/>
        <v>7.5</v>
      </c>
      <c r="P46" s="956"/>
      <c r="Q46" s="956"/>
      <c r="R46" s="956"/>
      <c r="AH46" s="967"/>
      <c r="AI46" s="967"/>
      <c r="AJ46" s="967"/>
      <c r="AK46" s="967"/>
      <c r="AL46" s="967"/>
      <c r="AM46" s="967"/>
      <c r="AN46" s="967"/>
      <c r="AO46" s="967"/>
      <c r="AP46" s="967"/>
      <c r="AR46" s="943" t="e">
        <f t="shared" si="25"/>
        <v>#REF!</v>
      </c>
      <c r="AS46" s="943">
        <f t="shared" si="26"/>
        <v>0</v>
      </c>
    </row>
    <row r="47" spans="1:45" hidden="1" outlineLevel="1">
      <c r="A47" s="947"/>
      <c r="B47" s="961" t="s">
        <v>149</v>
      </c>
      <c r="C47" s="969"/>
      <c r="D47" s="964">
        <v>40</v>
      </c>
      <c r="E47" s="963">
        <f t="shared" si="17"/>
        <v>50</v>
      </c>
      <c r="F47" s="963">
        <f t="shared" si="18"/>
        <v>60</v>
      </c>
      <c r="G47" s="963">
        <f t="shared" si="19"/>
        <v>70</v>
      </c>
      <c r="H47" s="964">
        <f t="shared" si="20"/>
        <v>80</v>
      </c>
      <c r="I47" s="956"/>
      <c r="K47" s="958">
        <f t="shared" si="14"/>
        <v>40</v>
      </c>
      <c r="L47" s="958">
        <f t="shared" si="21"/>
        <v>10</v>
      </c>
      <c r="M47" s="958">
        <f t="shared" si="22"/>
        <v>10</v>
      </c>
      <c r="N47" s="958">
        <f t="shared" si="23"/>
        <v>10</v>
      </c>
      <c r="O47" s="958">
        <f t="shared" si="24"/>
        <v>10</v>
      </c>
      <c r="P47" s="956"/>
      <c r="Q47" s="956"/>
      <c r="R47" s="956"/>
      <c r="AH47" s="967"/>
      <c r="AI47" s="967"/>
      <c r="AJ47" s="967"/>
      <c r="AK47" s="967"/>
      <c r="AL47" s="967"/>
      <c r="AM47" s="967"/>
      <c r="AN47" s="967"/>
      <c r="AO47" s="967"/>
      <c r="AP47" s="967"/>
      <c r="AR47" s="943" t="e">
        <f t="shared" si="25"/>
        <v>#REF!</v>
      </c>
      <c r="AS47" s="943">
        <f t="shared" si="26"/>
        <v>0</v>
      </c>
    </row>
    <row r="48" spans="1:45" hidden="1" outlineLevel="1">
      <c r="A48" s="947"/>
      <c r="B48" s="961" t="s">
        <v>149</v>
      </c>
      <c r="C48" s="969"/>
      <c r="D48" s="964">
        <v>100</v>
      </c>
      <c r="E48" s="963">
        <f t="shared" si="17"/>
        <v>125</v>
      </c>
      <c r="F48" s="963">
        <f t="shared" si="18"/>
        <v>150</v>
      </c>
      <c r="G48" s="963">
        <f t="shared" si="19"/>
        <v>175</v>
      </c>
      <c r="H48" s="964">
        <f t="shared" si="20"/>
        <v>200</v>
      </c>
      <c r="I48" s="956"/>
      <c r="K48" s="958">
        <f t="shared" si="14"/>
        <v>100</v>
      </c>
      <c r="L48" s="958">
        <f t="shared" si="21"/>
        <v>25</v>
      </c>
      <c r="M48" s="958">
        <f t="shared" si="22"/>
        <v>25</v>
      </c>
      <c r="N48" s="958">
        <f t="shared" si="23"/>
        <v>25</v>
      </c>
      <c r="O48" s="958">
        <f t="shared" si="24"/>
        <v>25</v>
      </c>
      <c r="P48" s="956"/>
      <c r="Q48" s="956"/>
      <c r="R48" s="956"/>
      <c r="AH48" s="967"/>
      <c r="AI48" s="967"/>
      <c r="AJ48" s="967"/>
      <c r="AK48" s="967"/>
      <c r="AL48" s="967"/>
      <c r="AM48" s="967"/>
      <c r="AN48" s="967"/>
      <c r="AO48" s="967"/>
      <c r="AP48" s="967"/>
      <c r="AR48" s="943" t="e">
        <f t="shared" si="25"/>
        <v>#REF!</v>
      </c>
      <c r="AS48" s="943">
        <f t="shared" si="26"/>
        <v>0</v>
      </c>
    </row>
    <row r="49" spans="1:45" hidden="1" outlineLevel="1">
      <c r="A49" s="947"/>
      <c r="B49" s="970" t="s">
        <v>149</v>
      </c>
      <c r="C49" s="971"/>
      <c r="D49" s="972">
        <v>50</v>
      </c>
      <c r="E49" s="973">
        <f t="shared" si="17"/>
        <v>62.5</v>
      </c>
      <c r="F49" s="973">
        <f t="shared" si="18"/>
        <v>75</v>
      </c>
      <c r="G49" s="973">
        <f t="shared" si="19"/>
        <v>87.5</v>
      </c>
      <c r="H49" s="964">
        <f t="shared" si="20"/>
        <v>100</v>
      </c>
      <c r="I49" s="956"/>
      <c r="K49" s="958">
        <f t="shared" si="14"/>
        <v>50</v>
      </c>
      <c r="L49" s="958">
        <f t="shared" si="21"/>
        <v>12.5</v>
      </c>
      <c r="M49" s="958">
        <f t="shared" si="22"/>
        <v>12.5</v>
      </c>
      <c r="N49" s="958">
        <f t="shared" si="23"/>
        <v>12.5</v>
      </c>
      <c r="O49" s="958">
        <f t="shared" si="24"/>
        <v>12.5</v>
      </c>
      <c r="P49" s="956"/>
      <c r="Q49" s="956"/>
      <c r="R49" s="956"/>
      <c r="AH49" s="967"/>
      <c r="AI49" s="967"/>
      <c r="AJ49" s="967"/>
      <c r="AK49" s="967"/>
      <c r="AL49" s="967"/>
      <c r="AM49" s="967"/>
      <c r="AN49" s="967"/>
      <c r="AO49" s="967"/>
      <c r="AP49" s="967"/>
      <c r="AR49" s="943" t="e">
        <f t="shared" si="25"/>
        <v>#REF!</v>
      </c>
      <c r="AS49" s="943">
        <f t="shared" si="26"/>
        <v>0</v>
      </c>
    </row>
    <row r="50" spans="1:45" hidden="1" outlineLevel="1">
      <c r="A50" s="947"/>
      <c r="B50" s="961" t="s">
        <v>148</v>
      </c>
      <c r="C50" s="969"/>
      <c r="D50" s="964">
        <v>10</v>
      </c>
      <c r="E50" s="963"/>
      <c r="F50" s="963"/>
      <c r="G50" s="963"/>
      <c r="H50" s="964">
        <f t="shared" si="20"/>
        <v>20</v>
      </c>
      <c r="I50" s="956"/>
      <c r="K50" s="958">
        <f t="shared" si="14"/>
        <v>10</v>
      </c>
      <c r="L50" s="958">
        <f t="shared" si="21"/>
        <v>-10</v>
      </c>
      <c r="M50" s="958">
        <f t="shared" si="22"/>
        <v>0</v>
      </c>
      <c r="N50" s="958">
        <f t="shared" si="23"/>
        <v>0</v>
      </c>
      <c r="O50" s="958">
        <f t="shared" si="24"/>
        <v>20</v>
      </c>
      <c r="P50" s="956"/>
      <c r="Q50" s="956"/>
      <c r="R50" s="956"/>
      <c r="AH50" s="967"/>
      <c r="AI50" s="967"/>
      <c r="AJ50" s="967"/>
      <c r="AK50" s="967"/>
      <c r="AL50" s="967"/>
      <c r="AM50" s="967"/>
      <c r="AN50" s="967"/>
      <c r="AO50" s="967"/>
      <c r="AP50" s="967"/>
      <c r="AR50" s="943" t="e">
        <f t="shared" si="25"/>
        <v>#REF!</v>
      </c>
      <c r="AS50" s="943">
        <f t="shared" si="26"/>
        <v>0</v>
      </c>
    </row>
    <row r="51" spans="1:45" collapsed="1">
      <c r="A51" s="947"/>
      <c r="C51" s="974"/>
      <c r="D51" s="975"/>
      <c r="E51" s="975"/>
      <c r="F51" s="980"/>
      <c r="G51" s="976"/>
      <c r="H51" s="976"/>
      <c r="I51" s="956"/>
      <c r="K51" s="956"/>
      <c r="L51" s="956"/>
      <c r="M51" s="956"/>
      <c r="N51" s="956"/>
      <c r="O51" s="956"/>
      <c r="P51" s="956"/>
      <c r="Q51" s="956"/>
      <c r="R51" s="956"/>
      <c r="AH51" s="967"/>
      <c r="AI51" s="967"/>
      <c r="AJ51" s="967"/>
      <c r="AK51" s="967"/>
      <c r="AL51" s="967"/>
      <c r="AM51" s="967"/>
      <c r="AN51" s="967"/>
      <c r="AO51" s="967"/>
      <c r="AP51" s="967"/>
      <c r="AR51" s="943" t="e">
        <f t="shared" si="25"/>
        <v>#REF!</v>
      </c>
      <c r="AS51" s="943">
        <f t="shared" si="26"/>
        <v>0</v>
      </c>
    </row>
    <row r="52" spans="1:45">
      <c r="A52" s="947"/>
      <c r="B52" s="977" t="s">
        <v>150</v>
      </c>
      <c r="C52" s="978" t="s">
        <v>113</v>
      </c>
      <c r="D52" s="986">
        <f>+E52</f>
        <v>10</v>
      </c>
      <c r="E52" s="986">
        <f>+F52</f>
        <v>10</v>
      </c>
      <c r="F52" s="987">
        <f>+Control!D43</f>
        <v>10</v>
      </c>
      <c r="G52" s="986">
        <f>F52</f>
        <v>10</v>
      </c>
      <c r="H52" s="986">
        <f>G52</f>
        <v>10</v>
      </c>
      <c r="I52" s="956"/>
      <c r="K52" s="981">
        <v>1000</v>
      </c>
      <c r="L52" s="981">
        <v>0</v>
      </c>
      <c r="M52" s="982">
        <v>0</v>
      </c>
      <c r="N52" s="983"/>
      <c r="O52" s="983"/>
      <c r="P52" s="956"/>
      <c r="Q52" s="956"/>
      <c r="R52" s="956"/>
      <c r="AH52" s="967"/>
      <c r="AI52" s="967"/>
      <c r="AJ52" s="967"/>
      <c r="AK52" s="967"/>
      <c r="AL52" s="967"/>
      <c r="AM52" s="967"/>
      <c r="AN52" s="967"/>
      <c r="AO52" s="967"/>
      <c r="AP52" s="967"/>
    </row>
    <row r="53" spans="1:45">
      <c r="A53" s="947"/>
      <c r="C53" s="974"/>
      <c r="D53" s="951"/>
      <c r="E53" s="951"/>
      <c r="F53" s="951"/>
      <c r="I53" s="956"/>
      <c r="J53" s="956"/>
      <c r="K53" s="956"/>
      <c r="L53" s="956"/>
      <c r="M53" s="956"/>
      <c r="N53" s="956"/>
      <c r="O53" s="956"/>
      <c r="P53" s="956"/>
      <c r="Q53" s="956"/>
      <c r="R53" s="956"/>
      <c r="AH53" s="967"/>
      <c r="AI53" s="967"/>
      <c r="AJ53" s="967"/>
      <c r="AK53" s="967"/>
      <c r="AL53" s="967"/>
      <c r="AM53" s="967"/>
      <c r="AN53" s="967"/>
      <c r="AO53" s="967"/>
      <c r="AP53" s="967"/>
    </row>
    <row r="54" spans="1:45">
      <c r="A54" s="947"/>
      <c r="B54" s="977" t="s">
        <v>482</v>
      </c>
      <c r="C54" s="978" t="s">
        <v>14</v>
      </c>
      <c r="D54" s="984">
        <v>0.15</v>
      </c>
      <c r="I54" s="956"/>
      <c r="J54" s="956"/>
      <c r="K54" s="956"/>
      <c r="L54" s="956"/>
      <c r="M54" s="956"/>
      <c r="N54" s="956"/>
      <c r="O54" s="956"/>
      <c r="P54" s="956"/>
      <c r="Q54" s="951"/>
      <c r="R54" s="951"/>
    </row>
    <row r="56" spans="1:45" s="950" customFormat="1">
      <c r="A56" s="948" t="s">
        <v>24</v>
      </c>
      <c r="B56" s="949" t="s">
        <v>151</v>
      </c>
      <c r="C56" s="949"/>
      <c r="D56" s="949"/>
      <c r="E56" s="949"/>
      <c r="F56" s="949"/>
      <c r="G56" s="949"/>
      <c r="H56" s="949"/>
      <c r="J56" s="949" t="s">
        <v>481</v>
      </c>
      <c r="K56" s="949"/>
      <c r="L56" s="949"/>
      <c r="M56" s="949"/>
      <c r="N56" s="949"/>
      <c r="O56" s="949"/>
      <c r="P56" s="949"/>
      <c r="Q56" s="949"/>
      <c r="R56" s="949"/>
    </row>
    <row r="57" spans="1:45">
      <c r="A57" s="947"/>
      <c r="B57" s="951"/>
      <c r="C57" s="951"/>
      <c r="D57" s="951"/>
      <c r="E57" s="951"/>
      <c r="F57" s="951"/>
      <c r="G57" s="951"/>
      <c r="H57" s="951"/>
      <c r="I57" s="951"/>
      <c r="J57" s="951"/>
      <c r="K57" s="951"/>
      <c r="L57" s="951"/>
      <c r="M57" s="951"/>
      <c r="N57" s="951"/>
      <c r="O57" s="951"/>
      <c r="P57" s="951"/>
      <c r="Q57" s="951"/>
      <c r="R57" s="951"/>
      <c r="AR57" s="952" t="e">
        <f>+#REF!</f>
        <v>#REF!</v>
      </c>
    </row>
    <row r="59" spans="1:45">
      <c r="A59" s="947"/>
      <c r="B59" s="953" t="s">
        <v>138</v>
      </c>
      <c r="C59" s="954" t="s">
        <v>12</v>
      </c>
      <c r="D59" s="955" t="s">
        <v>139</v>
      </c>
      <c r="E59" s="955" t="s">
        <v>140</v>
      </c>
      <c r="F59" s="955" t="s">
        <v>136</v>
      </c>
      <c r="G59" s="955" t="s">
        <v>141</v>
      </c>
      <c r="H59" s="955" t="s">
        <v>142</v>
      </c>
      <c r="I59" s="956"/>
      <c r="K59" s="957" t="s">
        <v>143</v>
      </c>
      <c r="L59" s="957" t="s">
        <v>144</v>
      </c>
      <c r="M59" s="957" t="s">
        <v>145</v>
      </c>
      <c r="N59" s="958"/>
      <c r="P59" s="956"/>
      <c r="Q59" s="956"/>
      <c r="R59" s="956"/>
      <c r="AR59" s="959" t="s">
        <v>146</v>
      </c>
      <c r="AS59" s="960" t="s">
        <v>147</v>
      </c>
    </row>
    <row r="60" spans="1:45">
      <c r="A60" s="947"/>
      <c r="B60" s="961" t="s">
        <v>492</v>
      </c>
      <c r="C60" s="962" t="s">
        <v>67</v>
      </c>
      <c r="D60" s="963">
        <f t="shared" ref="D60:D64" si="27">+F60*(1-$D$78)</f>
        <v>37.199688331042374</v>
      </c>
      <c r="E60" s="963">
        <f t="shared" ref="E60:E64" si="28">+AVERAGE(D60,F60)</f>
        <v>40.4820137720167</v>
      </c>
      <c r="F60" s="968">
        <v>43.764339212991032</v>
      </c>
      <c r="G60" s="963">
        <f t="shared" ref="G60:G63" si="29">+AVERAGE(F60,H60)</f>
        <v>47.046664653965358</v>
      </c>
      <c r="H60" s="963">
        <f t="shared" ref="H60:H63" si="30">+F60*(1+$D$78)</f>
        <v>50.328990094939684</v>
      </c>
      <c r="I60" s="956"/>
      <c r="K60" s="965">
        <f t="shared" ref="K60:K74" si="31">D60</f>
        <v>37.199688331042374</v>
      </c>
      <c r="L60" s="965">
        <f t="shared" ref="L60:L65" si="32">F60-D60</f>
        <v>6.5646508819486584</v>
      </c>
      <c r="M60" s="966">
        <f t="shared" ref="M60:M65" si="33">H60-F60</f>
        <v>6.5646508819486513</v>
      </c>
      <c r="N60" s="958"/>
      <c r="O60" s="958"/>
      <c r="P60" s="956"/>
      <c r="Q60" s="956"/>
      <c r="R60" s="956"/>
      <c r="AH60" s="967"/>
      <c r="AI60" s="967"/>
      <c r="AJ60" s="967"/>
      <c r="AK60" s="967"/>
      <c r="AL60" s="967"/>
      <c r="AM60" s="967"/>
      <c r="AN60" s="967"/>
      <c r="AO60" s="967"/>
      <c r="AP60" s="967"/>
      <c r="AR60" s="943" t="e">
        <f>+IF(#REF!="yes",D60,AS60-AS60*$AR$57)</f>
        <v>#REF!</v>
      </c>
      <c r="AS60" s="943" t="e">
        <f>+IF(#REF!="yes",H60,I60)</f>
        <v>#REF!</v>
      </c>
    </row>
    <row r="61" spans="1:45">
      <c r="A61" s="947"/>
      <c r="B61" s="961" t="s">
        <v>491</v>
      </c>
      <c r="C61" s="962" t="s">
        <v>67</v>
      </c>
      <c r="D61" s="963">
        <f t="shared" si="27"/>
        <v>33.644440783851266</v>
      </c>
      <c r="E61" s="963">
        <f t="shared" si="28"/>
        <v>36.613067911838144</v>
      </c>
      <c r="F61" s="968">
        <v>39.581695039825021</v>
      </c>
      <c r="G61" s="963">
        <f t="shared" si="29"/>
        <v>42.550322167811899</v>
      </c>
      <c r="H61" s="963">
        <f t="shared" si="30"/>
        <v>45.51894929579877</v>
      </c>
      <c r="I61" s="956"/>
      <c r="K61" s="965">
        <f t="shared" si="31"/>
        <v>33.644440783851266</v>
      </c>
      <c r="L61" s="965">
        <f t="shared" si="32"/>
        <v>5.9372542559737553</v>
      </c>
      <c r="M61" s="966">
        <f t="shared" si="33"/>
        <v>5.9372542559737482</v>
      </c>
      <c r="N61" s="958"/>
      <c r="O61" s="958"/>
      <c r="P61" s="956"/>
      <c r="Q61" s="956"/>
      <c r="R61" s="956"/>
      <c r="AH61" s="967"/>
      <c r="AI61" s="967"/>
      <c r="AJ61" s="967"/>
      <c r="AK61" s="967"/>
      <c r="AL61" s="967"/>
      <c r="AM61" s="967"/>
      <c r="AN61" s="967"/>
      <c r="AO61" s="967"/>
      <c r="AP61" s="967"/>
      <c r="AR61" s="943" t="e">
        <f>+IF(#REF!="yes",D61,AS61-AS61*$AR$57)</f>
        <v>#REF!</v>
      </c>
      <c r="AS61" s="943" t="e">
        <f>+IF(#REF!="yes",H61,I61)</f>
        <v>#REF!</v>
      </c>
    </row>
    <row r="62" spans="1:45">
      <c r="A62" s="947"/>
      <c r="B62" s="961" t="s">
        <v>490</v>
      </c>
      <c r="C62" s="962" t="s">
        <v>67</v>
      </c>
      <c r="D62" s="963">
        <f t="shared" si="27"/>
        <v>53.685284807523544</v>
      </c>
      <c r="E62" s="963">
        <f t="shared" si="28"/>
        <v>58.422221702305038</v>
      </c>
      <c r="F62" s="968">
        <f>+Valuation!H67*Control!D42</f>
        <v>63.159158597086524</v>
      </c>
      <c r="G62" s="963">
        <f t="shared" si="29"/>
        <v>67.89609549186801</v>
      </c>
      <c r="H62" s="963">
        <f t="shared" si="30"/>
        <v>72.633032386649504</v>
      </c>
      <c r="I62" s="956"/>
      <c r="K62" s="965">
        <f t="shared" si="31"/>
        <v>53.685284807523544</v>
      </c>
      <c r="L62" s="965">
        <f t="shared" si="32"/>
        <v>9.4738737895629797</v>
      </c>
      <c r="M62" s="966">
        <f t="shared" si="33"/>
        <v>9.4738737895629797</v>
      </c>
      <c r="N62" s="958"/>
      <c r="O62" s="958"/>
      <c r="P62" s="956"/>
      <c r="Q62" s="956"/>
      <c r="R62" s="956"/>
      <c r="AH62" s="967"/>
      <c r="AI62" s="967"/>
      <c r="AJ62" s="967"/>
      <c r="AK62" s="967"/>
      <c r="AL62" s="967"/>
      <c r="AM62" s="967"/>
      <c r="AN62" s="967"/>
      <c r="AO62" s="967"/>
      <c r="AP62" s="967"/>
      <c r="AR62" s="943" t="e">
        <f>+IF(#REF!="yes",D62,AS62-AS62*$AR$57)</f>
        <v>#REF!</v>
      </c>
      <c r="AS62" s="943" t="e">
        <f>+IF(#REF!="yes",H62,I62)</f>
        <v>#REF!</v>
      </c>
    </row>
    <row r="63" spans="1:45">
      <c r="A63" s="947"/>
      <c r="B63" s="961" t="s">
        <v>484</v>
      </c>
      <c r="C63" s="962" t="s">
        <v>67</v>
      </c>
      <c r="D63" s="963">
        <f t="shared" si="27"/>
        <v>28.039418362940925</v>
      </c>
      <c r="E63" s="963">
        <f t="shared" si="28"/>
        <v>30.513484689082773</v>
      </c>
      <c r="F63" s="968">
        <f>+Control!D39*Control!D42</f>
        <v>32.987551015224618</v>
      </c>
      <c r="G63" s="963">
        <f t="shared" si="29"/>
        <v>35.461617341366463</v>
      </c>
      <c r="H63" s="963">
        <f t="shared" si="30"/>
        <v>37.935683667508307</v>
      </c>
      <c r="I63" s="956"/>
      <c r="K63" s="965">
        <f t="shared" si="31"/>
        <v>28.039418362940925</v>
      </c>
      <c r="L63" s="965">
        <f t="shared" si="32"/>
        <v>4.948132652283693</v>
      </c>
      <c r="M63" s="966">
        <f t="shared" si="33"/>
        <v>4.9481326522836895</v>
      </c>
      <c r="N63" s="958"/>
      <c r="O63" s="958"/>
      <c r="P63" s="956"/>
      <c r="Q63" s="956"/>
      <c r="R63" s="956"/>
      <c r="AH63" s="967"/>
      <c r="AI63" s="967"/>
      <c r="AJ63" s="967"/>
      <c r="AK63" s="967"/>
      <c r="AL63" s="967"/>
      <c r="AM63" s="967"/>
      <c r="AN63" s="967"/>
      <c r="AO63" s="967"/>
      <c r="AP63" s="967"/>
      <c r="AR63" s="943" t="e">
        <f>+IF(#REF!="yes",D63,AS63-AS63*$AR$57)</f>
        <v>#REF!</v>
      </c>
      <c r="AS63" s="943" t="e">
        <f>+IF(#REF!="yes",H63,I63)</f>
        <v>#REF!</v>
      </c>
    </row>
    <row r="64" spans="1:45">
      <c r="A64" s="947"/>
      <c r="B64" s="961" t="s">
        <v>483</v>
      </c>
      <c r="C64" s="962" t="s">
        <v>67</v>
      </c>
      <c r="D64" s="963">
        <f t="shared" si="27"/>
        <v>32.014676930165578</v>
      </c>
      <c r="E64" s="963">
        <f t="shared" si="28"/>
        <v>34.83950136518019</v>
      </c>
      <c r="F64" s="968">
        <v>37.664325800194803</v>
      </c>
      <c r="G64" s="963">
        <f>+AVERAGE(F64,H64)</f>
        <v>40.489150235209408</v>
      </c>
      <c r="H64" s="963">
        <f>+F64*(1+$D$78)</f>
        <v>43.31397467022402</v>
      </c>
      <c r="I64" s="956"/>
      <c r="K64" s="965">
        <f t="shared" si="31"/>
        <v>32.014676930165578</v>
      </c>
      <c r="L64" s="965">
        <f t="shared" si="32"/>
        <v>5.6496488700292247</v>
      </c>
      <c r="M64" s="966">
        <f t="shared" si="33"/>
        <v>5.6496488700292176</v>
      </c>
      <c r="N64" s="958"/>
      <c r="O64" s="958"/>
      <c r="P64" s="956"/>
      <c r="Q64" s="956"/>
      <c r="R64" s="956"/>
      <c r="AH64" s="967"/>
      <c r="AI64" s="967"/>
      <c r="AJ64" s="967"/>
      <c r="AK64" s="967"/>
      <c r="AL64" s="967"/>
      <c r="AM64" s="967"/>
      <c r="AN64" s="967"/>
      <c r="AO64" s="967"/>
      <c r="AP64" s="967"/>
      <c r="AR64" s="943" t="e">
        <f>+IF(#REF!="yes",D64,AS64-AS64*$AR$57)</f>
        <v>#REF!</v>
      </c>
      <c r="AS64" s="943" t="e">
        <f>+IF(#REF!="yes",H64,I64)</f>
        <v>#REF!</v>
      </c>
    </row>
    <row r="65" spans="1:45">
      <c r="A65" s="947"/>
      <c r="B65" s="961" t="s">
        <v>480</v>
      </c>
      <c r="C65" s="962" t="s">
        <v>67</v>
      </c>
      <c r="D65" s="963">
        <f>+F65*(1-$D$78)</f>
        <v>36.914539483974742</v>
      </c>
      <c r="E65" s="963">
        <f>+AVERAGE(D65,F65)</f>
        <v>40.171704732560755</v>
      </c>
      <c r="F65" s="968">
        <f>+Valuation!H30</f>
        <v>43.428869981146761</v>
      </c>
      <c r="G65" s="963">
        <f>+AVERAGE(F65,H65)</f>
        <v>46.686035229732767</v>
      </c>
      <c r="H65" s="963">
        <f>+F65*(1+$D$78)</f>
        <v>49.943200478318772</v>
      </c>
      <c r="I65" s="956"/>
      <c r="K65" s="965">
        <f t="shared" si="31"/>
        <v>36.914539483974742</v>
      </c>
      <c r="L65" s="965">
        <f t="shared" si="32"/>
        <v>6.5143304971720184</v>
      </c>
      <c r="M65" s="966">
        <f t="shared" si="33"/>
        <v>6.5143304971720113</v>
      </c>
      <c r="N65" s="958"/>
      <c r="O65" s="958"/>
      <c r="P65" s="956"/>
      <c r="Q65" s="956"/>
      <c r="R65" s="956"/>
      <c r="AH65" s="967"/>
      <c r="AI65" s="967"/>
      <c r="AJ65" s="967"/>
      <c r="AK65" s="967"/>
      <c r="AL65" s="967"/>
      <c r="AM65" s="967"/>
      <c r="AN65" s="967"/>
      <c r="AO65" s="967"/>
      <c r="AP65" s="967"/>
      <c r="AR65" s="943" t="e">
        <f>+IF(#REF!="yes",D65,AS65-AS65*$AR$57)</f>
        <v>#REF!</v>
      </c>
      <c r="AS65" s="943" t="e">
        <f>+IF(#REF!="yes",H65,I65)</f>
        <v>#REF!</v>
      </c>
    </row>
    <row r="66" spans="1:45" hidden="1" outlineLevel="1">
      <c r="A66" s="947"/>
      <c r="B66" s="961" t="s">
        <v>149</v>
      </c>
      <c r="C66" s="969"/>
      <c r="D66" s="964">
        <f>D65-20</f>
        <v>16.914539483974742</v>
      </c>
      <c r="E66" s="963">
        <f t="shared" ref="E66:E73" si="34">AVERAGE(D66,F66)</f>
        <v>21.14317435496843</v>
      </c>
      <c r="F66" s="963">
        <f t="shared" ref="F66:F73" si="35">AVERAGE(D66,H66)</f>
        <v>25.371809225962114</v>
      </c>
      <c r="G66" s="963">
        <f t="shared" ref="G66:G73" si="36">AVERAGE(F66,H66)</f>
        <v>29.600444096955798</v>
      </c>
      <c r="H66" s="964">
        <f t="shared" ref="H66:H74" si="37">D66*2</f>
        <v>33.829078967949485</v>
      </c>
      <c r="I66" s="956"/>
      <c r="K66" s="958">
        <f t="shared" si="31"/>
        <v>16.914539483974742</v>
      </c>
      <c r="L66" s="958">
        <f t="shared" ref="L66:L74" si="38">E66-D66</f>
        <v>4.2286348709936874</v>
      </c>
      <c r="M66" s="958">
        <f t="shared" ref="M66:M74" si="39">F66-E66</f>
        <v>4.2286348709936838</v>
      </c>
      <c r="N66" s="958">
        <f t="shared" ref="N66:N74" si="40">G66-F66</f>
        <v>4.2286348709936838</v>
      </c>
      <c r="O66" s="958">
        <f t="shared" ref="O66:O74" si="41">H66-G66</f>
        <v>4.2286348709936874</v>
      </c>
      <c r="P66" s="956"/>
      <c r="Q66" s="956"/>
      <c r="R66" s="956"/>
      <c r="AH66" s="967"/>
      <c r="AI66" s="967"/>
      <c r="AJ66" s="967"/>
      <c r="AK66" s="967"/>
      <c r="AL66" s="967"/>
      <c r="AM66" s="967"/>
      <c r="AN66" s="967"/>
      <c r="AO66" s="967"/>
      <c r="AP66" s="967"/>
      <c r="AR66" s="943" t="e">
        <f t="shared" ref="AR66:AR75" si="42">+IF(D66="yes",G66,AS66-AS66*$AR$57)</f>
        <v>#REF!</v>
      </c>
      <c r="AS66" s="943">
        <f t="shared" ref="AS66:AS75" si="43">+IF(D66="yes",H66,I66)</f>
        <v>0</v>
      </c>
    </row>
    <row r="67" spans="1:45" hidden="1" outlineLevel="1">
      <c r="A67" s="947"/>
      <c r="B67" s="961" t="s">
        <v>149</v>
      </c>
      <c r="C67" s="969"/>
      <c r="D67" s="964">
        <f>D66-20</f>
        <v>-3.0854605160252575</v>
      </c>
      <c r="E67" s="963">
        <f t="shared" si="34"/>
        <v>-3.8568256450315719</v>
      </c>
      <c r="F67" s="963">
        <f t="shared" si="35"/>
        <v>-4.6281907740378863</v>
      </c>
      <c r="G67" s="963">
        <f t="shared" si="36"/>
        <v>-5.3995559030442006</v>
      </c>
      <c r="H67" s="964">
        <f t="shared" si="37"/>
        <v>-6.170921032050515</v>
      </c>
      <c r="I67" s="956"/>
      <c r="K67" s="958">
        <f t="shared" si="31"/>
        <v>-3.0854605160252575</v>
      </c>
      <c r="L67" s="958">
        <f t="shared" si="38"/>
        <v>-0.77136512900631438</v>
      </c>
      <c r="M67" s="958">
        <f t="shared" si="39"/>
        <v>-0.77136512900631438</v>
      </c>
      <c r="N67" s="958">
        <f t="shared" si="40"/>
        <v>-0.77136512900631438</v>
      </c>
      <c r="O67" s="958">
        <f t="shared" si="41"/>
        <v>-0.77136512900631438</v>
      </c>
      <c r="P67" s="956"/>
      <c r="Q67" s="956"/>
      <c r="R67" s="956"/>
      <c r="AH67" s="967"/>
      <c r="AI67" s="967"/>
      <c r="AJ67" s="967"/>
      <c r="AK67" s="967"/>
      <c r="AL67" s="967"/>
      <c r="AM67" s="967"/>
      <c r="AN67" s="967"/>
      <c r="AO67" s="967"/>
      <c r="AP67" s="967"/>
      <c r="AR67" s="943" t="e">
        <f t="shared" si="42"/>
        <v>#REF!</v>
      </c>
      <c r="AS67" s="943">
        <f t="shared" si="43"/>
        <v>0</v>
      </c>
    </row>
    <row r="68" spans="1:45" hidden="1" outlineLevel="1">
      <c r="A68" s="947"/>
      <c r="B68" s="961" t="s">
        <v>149</v>
      </c>
      <c r="C68" s="969"/>
      <c r="D68" s="964">
        <v>10</v>
      </c>
      <c r="E68" s="963">
        <f t="shared" si="34"/>
        <v>12.5</v>
      </c>
      <c r="F68" s="963">
        <f t="shared" si="35"/>
        <v>15</v>
      </c>
      <c r="G68" s="963">
        <f t="shared" si="36"/>
        <v>17.5</v>
      </c>
      <c r="H68" s="964">
        <f t="shared" si="37"/>
        <v>20</v>
      </c>
      <c r="I68" s="956"/>
      <c r="K68" s="958">
        <f t="shared" si="31"/>
        <v>10</v>
      </c>
      <c r="L68" s="958">
        <f t="shared" si="38"/>
        <v>2.5</v>
      </c>
      <c r="M68" s="958">
        <f t="shared" si="39"/>
        <v>2.5</v>
      </c>
      <c r="N68" s="958">
        <f t="shared" si="40"/>
        <v>2.5</v>
      </c>
      <c r="O68" s="958">
        <f t="shared" si="41"/>
        <v>2.5</v>
      </c>
      <c r="P68" s="956"/>
      <c r="Q68" s="956"/>
      <c r="R68" s="956"/>
      <c r="AH68" s="967"/>
      <c r="AI68" s="967"/>
      <c r="AJ68" s="967"/>
      <c r="AK68" s="967"/>
      <c r="AL68" s="967"/>
      <c r="AM68" s="967"/>
      <c r="AN68" s="967"/>
      <c r="AO68" s="967"/>
      <c r="AP68" s="967"/>
      <c r="AR68" s="943" t="e">
        <f t="shared" si="42"/>
        <v>#REF!</v>
      </c>
      <c r="AS68" s="943">
        <f t="shared" si="43"/>
        <v>0</v>
      </c>
    </row>
    <row r="69" spans="1:45" hidden="1" outlineLevel="1">
      <c r="A69" s="947"/>
      <c r="B69" s="961" t="s">
        <v>149</v>
      </c>
      <c r="C69" s="969"/>
      <c r="D69" s="964">
        <v>25</v>
      </c>
      <c r="E69" s="963">
        <f t="shared" si="34"/>
        <v>31.25</v>
      </c>
      <c r="F69" s="963">
        <f t="shared" si="35"/>
        <v>37.5</v>
      </c>
      <c r="G69" s="963">
        <f t="shared" si="36"/>
        <v>43.75</v>
      </c>
      <c r="H69" s="964">
        <f t="shared" si="37"/>
        <v>50</v>
      </c>
      <c r="I69" s="956"/>
      <c r="K69" s="958">
        <f t="shared" si="31"/>
        <v>25</v>
      </c>
      <c r="L69" s="958">
        <f t="shared" si="38"/>
        <v>6.25</v>
      </c>
      <c r="M69" s="958">
        <f t="shared" si="39"/>
        <v>6.25</v>
      </c>
      <c r="N69" s="958">
        <f t="shared" si="40"/>
        <v>6.25</v>
      </c>
      <c r="O69" s="958">
        <f t="shared" si="41"/>
        <v>6.25</v>
      </c>
      <c r="P69" s="956"/>
      <c r="Q69" s="956"/>
      <c r="R69" s="956"/>
      <c r="AH69" s="967"/>
      <c r="AI69" s="967"/>
      <c r="AJ69" s="967"/>
      <c r="AK69" s="967"/>
      <c r="AL69" s="967"/>
      <c r="AM69" s="967"/>
      <c r="AN69" s="967"/>
      <c r="AO69" s="967"/>
      <c r="AP69" s="967"/>
      <c r="AR69" s="943" t="e">
        <f t="shared" si="42"/>
        <v>#REF!</v>
      </c>
      <c r="AS69" s="943">
        <f t="shared" si="43"/>
        <v>0</v>
      </c>
    </row>
    <row r="70" spans="1:45" hidden="1" outlineLevel="1">
      <c r="A70" s="947"/>
      <c r="B70" s="961" t="s">
        <v>149</v>
      </c>
      <c r="C70" s="969"/>
      <c r="D70" s="964">
        <v>30</v>
      </c>
      <c r="E70" s="963">
        <f t="shared" si="34"/>
        <v>37.5</v>
      </c>
      <c r="F70" s="963">
        <f t="shared" si="35"/>
        <v>45</v>
      </c>
      <c r="G70" s="963">
        <f t="shared" si="36"/>
        <v>52.5</v>
      </c>
      <c r="H70" s="964">
        <f t="shared" si="37"/>
        <v>60</v>
      </c>
      <c r="I70" s="956"/>
      <c r="K70" s="958">
        <f t="shared" si="31"/>
        <v>30</v>
      </c>
      <c r="L70" s="958">
        <f t="shared" si="38"/>
        <v>7.5</v>
      </c>
      <c r="M70" s="958">
        <f t="shared" si="39"/>
        <v>7.5</v>
      </c>
      <c r="N70" s="958">
        <f t="shared" si="40"/>
        <v>7.5</v>
      </c>
      <c r="O70" s="958">
        <f t="shared" si="41"/>
        <v>7.5</v>
      </c>
      <c r="P70" s="956"/>
      <c r="Q70" s="956"/>
      <c r="R70" s="956"/>
      <c r="AH70" s="967"/>
      <c r="AI70" s="967"/>
      <c r="AJ70" s="967"/>
      <c r="AK70" s="967"/>
      <c r="AL70" s="967"/>
      <c r="AM70" s="967"/>
      <c r="AN70" s="967"/>
      <c r="AO70" s="967"/>
      <c r="AP70" s="967"/>
      <c r="AR70" s="943" t="e">
        <f t="shared" si="42"/>
        <v>#REF!</v>
      </c>
      <c r="AS70" s="943">
        <f t="shared" si="43"/>
        <v>0</v>
      </c>
    </row>
    <row r="71" spans="1:45" hidden="1" outlineLevel="1">
      <c r="A71" s="947"/>
      <c r="B71" s="961" t="s">
        <v>149</v>
      </c>
      <c r="C71" s="969"/>
      <c r="D71" s="964">
        <v>40</v>
      </c>
      <c r="E71" s="963">
        <f t="shared" si="34"/>
        <v>50</v>
      </c>
      <c r="F71" s="963">
        <f t="shared" si="35"/>
        <v>60</v>
      </c>
      <c r="G71" s="963">
        <f t="shared" si="36"/>
        <v>70</v>
      </c>
      <c r="H71" s="964">
        <f t="shared" si="37"/>
        <v>80</v>
      </c>
      <c r="I71" s="956"/>
      <c r="K71" s="958">
        <f t="shared" si="31"/>
        <v>40</v>
      </c>
      <c r="L71" s="958">
        <f t="shared" si="38"/>
        <v>10</v>
      </c>
      <c r="M71" s="958">
        <f t="shared" si="39"/>
        <v>10</v>
      </c>
      <c r="N71" s="958">
        <f t="shared" si="40"/>
        <v>10</v>
      </c>
      <c r="O71" s="958">
        <f t="shared" si="41"/>
        <v>10</v>
      </c>
      <c r="P71" s="956"/>
      <c r="Q71" s="956"/>
      <c r="R71" s="956"/>
      <c r="AH71" s="967"/>
      <c r="AI71" s="967"/>
      <c r="AJ71" s="967"/>
      <c r="AK71" s="967"/>
      <c r="AL71" s="967"/>
      <c r="AM71" s="967"/>
      <c r="AN71" s="967"/>
      <c r="AO71" s="967"/>
      <c r="AP71" s="967"/>
      <c r="AR71" s="943" t="e">
        <f t="shared" si="42"/>
        <v>#REF!</v>
      </c>
      <c r="AS71" s="943">
        <f t="shared" si="43"/>
        <v>0</v>
      </c>
    </row>
    <row r="72" spans="1:45" hidden="1" outlineLevel="1">
      <c r="A72" s="947"/>
      <c r="B72" s="961" t="s">
        <v>149</v>
      </c>
      <c r="C72" s="969"/>
      <c r="D72" s="964">
        <v>100</v>
      </c>
      <c r="E72" s="963">
        <f t="shared" si="34"/>
        <v>125</v>
      </c>
      <c r="F72" s="963">
        <f t="shared" si="35"/>
        <v>150</v>
      </c>
      <c r="G72" s="963">
        <f t="shared" si="36"/>
        <v>175</v>
      </c>
      <c r="H72" s="964">
        <f t="shared" si="37"/>
        <v>200</v>
      </c>
      <c r="I72" s="956"/>
      <c r="K72" s="958">
        <f t="shared" si="31"/>
        <v>100</v>
      </c>
      <c r="L72" s="958">
        <f t="shared" si="38"/>
        <v>25</v>
      </c>
      <c r="M72" s="958">
        <f t="shared" si="39"/>
        <v>25</v>
      </c>
      <c r="N72" s="958">
        <f t="shared" si="40"/>
        <v>25</v>
      </c>
      <c r="O72" s="958">
        <f t="shared" si="41"/>
        <v>25</v>
      </c>
      <c r="P72" s="956"/>
      <c r="Q72" s="956"/>
      <c r="R72" s="956"/>
      <c r="AH72" s="967"/>
      <c r="AI72" s="967"/>
      <c r="AJ72" s="967"/>
      <c r="AK72" s="967"/>
      <c r="AL72" s="967"/>
      <c r="AM72" s="967"/>
      <c r="AN72" s="967"/>
      <c r="AO72" s="967"/>
      <c r="AP72" s="967"/>
      <c r="AR72" s="943" t="e">
        <f t="shared" si="42"/>
        <v>#REF!</v>
      </c>
      <c r="AS72" s="943">
        <f t="shared" si="43"/>
        <v>0</v>
      </c>
    </row>
    <row r="73" spans="1:45" hidden="1" outlineLevel="1">
      <c r="A73" s="947"/>
      <c r="B73" s="970" t="s">
        <v>149</v>
      </c>
      <c r="C73" s="971"/>
      <c r="D73" s="972">
        <v>50</v>
      </c>
      <c r="E73" s="973">
        <f t="shared" si="34"/>
        <v>62.5</v>
      </c>
      <c r="F73" s="973">
        <f t="shared" si="35"/>
        <v>75</v>
      </c>
      <c r="G73" s="973">
        <f t="shared" si="36"/>
        <v>87.5</v>
      </c>
      <c r="H73" s="964">
        <f t="shared" si="37"/>
        <v>100</v>
      </c>
      <c r="I73" s="956"/>
      <c r="K73" s="958">
        <f t="shared" si="31"/>
        <v>50</v>
      </c>
      <c r="L73" s="958">
        <f t="shared" si="38"/>
        <v>12.5</v>
      </c>
      <c r="M73" s="958">
        <f t="shared" si="39"/>
        <v>12.5</v>
      </c>
      <c r="N73" s="958">
        <f t="shared" si="40"/>
        <v>12.5</v>
      </c>
      <c r="O73" s="958">
        <f t="shared" si="41"/>
        <v>12.5</v>
      </c>
      <c r="P73" s="956"/>
      <c r="Q73" s="956"/>
      <c r="R73" s="956"/>
      <c r="AH73" s="967"/>
      <c r="AI73" s="967"/>
      <c r="AJ73" s="967"/>
      <c r="AK73" s="967"/>
      <c r="AL73" s="967"/>
      <c r="AM73" s="967"/>
      <c r="AN73" s="967"/>
      <c r="AO73" s="967"/>
      <c r="AP73" s="967"/>
      <c r="AR73" s="943" t="e">
        <f t="shared" si="42"/>
        <v>#REF!</v>
      </c>
      <c r="AS73" s="943">
        <f t="shared" si="43"/>
        <v>0</v>
      </c>
    </row>
    <row r="74" spans="1:45" hidden="1" outlineLevel="1">
      <c r="A74" s="947"/>
      <c r="B74" s="961" t="s">
        <v>148</v>
      </c>
      <c r="C74" s="969"/>
      <c r="D74" s="964">
        <v>10</v>
      </c>
      <c r="E74" s="963"/>
      <c r="F74" s="963"/>
      <c r="G74" s="963"/>
      <c r="H74" s="964">
        <f t="shared" si="37"/>
        <v>20</v>
      </c>
      <c r="I74" s="956"/>
      <c r="K74" s="958">
        <f t="shared" si="31"/>
        <v>10</v>
      </c>
      <c r="L74" s="958">
        <f t="shared" si="38"/>
        <v>-10</v>
      </c>
      <c r="M74" s="958">
        <f t="shared" si="39"/>
        <v>0</v>
      </c>
      <c r="N74" s="958">
        <f t="shared" si="40"/>
        <v>0</v>
      </c>
      <c r="O74" s="958">
        <f t="shared" si="41"/>
        <v>20</v>
      </c>
      <c r="P74" s="956"/>
      <c r="Q74" s="956"/>
      <c r="R74" s="956"/>
      <c r="AH74" s="967"/>
      <c r="AI74" s="967"/>
      <c r="AJ74" s="967"/>
      <c r="AK74" s="967"/>
      <c r="AL74" s="967"/>
      <c r="AM74" s="967"/>
      <c r="AN74" s="967"/>
      <c r="AO74" s="967"/>
      <c r="AP74" s="967"/>
      <c r="AR74" s="943" t="e">
        <f t="shared" si="42"/>
        <v>#REF!</v>
      </c>
      <c r="AS74" s="943">
        <f t="shared" si="43"/>
        <v>0</v>
      </c>
    </row>
    <row r="75" spans="1:45" collapsed="1">
      <c r="A75" s="947"/>
      <c r="C75" s="974"/>
      <c r="D75" s="975"/>
      <c r="E75" s="975"/>
      <c r="F75" s="975"/>
      <c r="G75" s="976"/>
      <c r="H75" s="976"/>
      <c r="I75" s="956"/>
      <c r="K75" s="956"/>
      <c r="L75" s="956"/>
      <c r="M75" s="956"/>
      <c r="N75" s="956"/>
      <c r="O75" s="956"/>
      <c r="P75" s="956"/>
      <c r="Q75" s="956"/>
      <c r="R75" s="956"/>
      <c r="AH75" s="967"/>
      <c r="AI75" s="967"/>
      <c r="AJ75" s="967"/>
      <c r="AK75" s="967"/>
      <c r="AL75" s="967"/>
      <c r="AM75" s="967"/>
      <c r="AN75" s="967"/>
      <c r="AO75" s="967"/>
      <c r="AP75" s="967"/>
      <c r="AR75" s="943" t="e">
        <f t="shared" si="42"/>
        <v>#REF!</v>
      </c>
      <c r="AS75" s="943">
        <f t="shared" si="43"/>
        <v>0</v>
      </c>
    </row>
    <row r="76" spans="1:45">
      <c r="A76" s="947"/>
      <c r="B76" s="977" t="s">
        <v>150</v>
      </c>
      <c r="C76" s="978" t="s">
        <v>67</v>
      </c>
      <c r="D76" s="979">
        <f>+E76</f>
        <v>36.395856285714231</v>
      </c>
      <c r="E76" s="979">
        <f>+F76</f>
        <v>36.395856285714231</v>
      </c>
      <c r="F76" s="988">
        <f>F28-Model!N204+Model!N195</f>
        <v>36.395856285714231</v>
      </c>
      <c r="G76" s="979">
        <f>F76</f>
        <v>36.395856285714231</v>
      </c>
      <c r="H76" s="979">
        <f>G76</f>
        <v>36.395856285714231</v>
      </c>
      <c r="I76" s="956"/>
      <c r="K76" s="981">
        <v>1000</v>
      </c>
      <c r="L76" s="981">
        <v>0</v>
      </c>
      <c r="M76" s="982">
        <v>0</v>
      </c>
      <c r="N76" s="983"/>
      <c r="O76" s="983"/>
      <c r="P76" s="956"/>
      <c r="Q76" s="956"/>
      <c r="R76" s="956"/>
      <c r="AH76" s="967"/>
      <c r="AI76" s="967"/>
      <c r="AJ76" s="967"/>
      <c r="AK76" s="967"/>
      <c r="AL76" s="967"/>
      <c r="AM76" s="967"/>
      <c r="AN76" s="967"/>
      <c r="AO76" s="967"/>
      <c r="AP76" s="967"/>
    </row>
    <row r="77" spans="1:45">
      <c r="A77" s="947"/>
      <c r="C77" s="974"/>
      <c r="D77" s="951"/>
      <c r="E77" s="951"/>
      <c r="F77" s="975"/>
      <c r="I77" s="956"/>
      <c r="J77" s="956"/>
      <c r="K77" s="956"/>
      <c r="L77" s="956"/>
      <c r="M77" s="956"/>
      <c r="N77" s="956"/>
      <c r="O77" s="956"/>
      <c r="P77" s="956"/>
      <c r="Q77" s="956"/>
      <c r="R77" s="956"/>
      <c r="AH77" s="967"/>
      <c r="AI77" s="967"/>
      <c r="AJ77" s="967"/>
      <c r="AK77" s="967"/>
      <c r="AL77" s="967"/>
      <c r="AM77" s="967"/>
      <c r="AN77" s="967"/>
      <c r="AO77" s="967"/>
      <c r="AP77" s="967"/>
    </row>
    <row r="78" spans="1:45">
      <c r="A78" s="947"/>
      <c r="B78" s="977" t="s">
        <v>482</v>
      </c>
      <c r="C78" s="978" t="s">
        <v>14</v>
      </c>
      <c r="D78" s="984">
        <v>0.15</v>
      </c>
      <c r="F78" s="976"/>
      <c r="I78" s="956"/>
      <c r="J78" s="956"/>
      <c r="K78" s="956"/>
      <c r="L78" s="956"/>
      <c r="M78" s="956"/>
      <c r="N78" s="956"/>
      <c r="O78" s="956"/>
      <c r="P78" s="956"/>
      <c r="Q78" s="951"/>
      <c r="R78" s="951"/>
    </row>
  </sheetData>
  <conditionalFormatting sqref="D12:E17 D18:G26">
    <cfRule type="expression" dxfId="18" priority="38">
      <formula>#REF!="No"</formula>
    </cfRule>
  </conditionalFormatting>
  <conditionalFormatting sqref="D42:G50">
    <cfRule type="expression" dxfId="17" priority="23">
      <formula>#REF!="No"</formula>
    </cfRule>
  </conditionalFormatting>
  <conditionalFormatting sqref="D36:H41">
    <cfRule type="expression" dxfId="16" priority="18">
      <formula>#REF!="No"</formula>
    </cfRule>
  </conditionalFormatting>
  <conditionalFormatting sqref="D60:H74">
    <cfRule type="expression" dxfId="15" priority="1">
      <formula>#REF!="No"</formula>
    </cfRule>
  </conditionalFormatting>
  <conditionalFormatting sqref="F12:G17">
    <cfRule type="expression" dxfId="14" priority="31">
      <formula>#REF!="No"</formula>
    </cfRule>
  </conditionalFormatting>
  <conditionalFormatting sqref="H12:H26">
    <cfRule type="expression" dxfId="13" priority="36">
      <formula>#REF!="No"</formula>
    </cfRule>
  </conditionalFormatting>
  <conditionalFormatting sqref="H36:H50">
    <cfRule type="expression" dxfId="12" priority="22">
      <formula>#REF!="No"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EF6D-DFC7-4A40-84A4-215566386AE9}">
  <sheetPr>
    <tabColor theme="1"/>
  </sheetPr>
  <dimension ref="A2:Q17"/>
  <sheetViews>
    <sheetView showGridLines="0" zoomScale="150" zoomScaleNormal="150" workbookViewId="0">
      <selection activeCell="L26" sqref="L26"/>
    </sheetView>
  </sheetViews>
  <sheetFormatPr baseColWidth="10" defaultColWidth="0" defaultRowHeight="16"/>
  <cols>
    <col min="1" max="1" width="2" style="180" bestFit="1" customWidth="1"/>
    <col min="2" max="2" width="29.6640625" style="180" customWidth="1"/>
    <col min="3" max="3" width="7.83203125" style="180" bestFit="1" customWidth="1"/>
    <col min="4" max="4" width="8.6640625" style="180" customWidth="1"/>
    <col min="5" max="16" width="9" style="180" customWidth="1"/>
    <col min="17" max="17" width="8.6640625" style="180" customWidth="1"/>
    <col min="18" max="23" width="8.6640625" style="180" hidden="1" customWidth="1"/>
    <col min="24" max="16384" width="8.6640625" style="180" hidden="1"/>
  </cols>
  <sheetData>
    <row r="2" spans="1:16">
      <c r="A2" s="582" t="s">
        <v>10</v>
      </c>
      <c r="B2" s="583" t="s">
        <v>11</v>
      </c>
      <c r="C2" s="585" t="s">
        <v>12</v>
      </c>
      <c r="D2" s="585"/>
      <c r="E2" s="989">
        <v>2023</v>
      </c>
      <c r="F2" s="989">
        <f>+E2+1</f>
        <v>2024</v>
      </c>
      <c r="G2" s="989">
        <f t="shared" ref="G2:P2" si="0">+F2+1</f>
        <v>2025</v>
      </c>
      <c r="H2" s="989">
        <f t="shared" si="0"/>
        <v>2026</v>
      </c>
      <c r="I2" s="989">
        <f t="shared" si="0"/>
        <v>2027</v>
      </c>
      <c r="J2" s="989">
        <f t="shared" si="0"/>
        <v>2028</v>
      </c>
      <c r="K2" s="989">
        <f t="shared" si="0"/>
        <v>2029</v>
      </c>
      <c r="L2" s="989">
        <f t="shared" si="0"/>
        <v>2030</v>
      </c>
      <c r="M2" s="989">
        <f t="shared" si="0"/>
        <v>2031</v>
      </c>
      <c r="N2" s="989">
        <f t="shared" si="0"/>
        <v>2032</v>
      </c>
      <c r="O2" s="989">
        <f t="shared" si="0"/>
        <v>2033</v>
      </c>
      <c r="P2" s="989">
        <f t="shared" si="0"/>
        <v>2034</v>
      </c>
    </row>
    <row r="4" spans="1:16" ht="17" thickBot="1">
      <c r="A4" s="582" t="s">
        <v>10</v>
      </c>
      <c r="B4" s="610" t="s">
        <v>13</v>
      </c>
      <c r="C4" s="594"/>
      <c r="D4" s="594"/>
      <c r="E4" s="595"/>
      <c r="F4" s="595"/>
      <c r="G4" s="595"/>
      <c r="H4" s="595"/>
      <c r="I4" s="595"/>
      <c r="J4" s="595"/>
      <c r="K4" s="595"/>
      <c r="L4" s="595"/>
      <c r="M4" s="595"/>
      <c r="N4" s="595"/>
      <c r="O4" s="595"/>
      <c r="P4" s="595"/>
    </row>
    <row r="5" spans="1:16">
      <c r="B5" s="184" t="s">
        <v>18</v>
      </c>
      <c r="C5" s="372" t="s">
        <v>14</v>
      </c>
      <c r="E5" s="194">
        <v>6.3E-2</v>
      </c>
      <c r="F5" s="194">
        <v>5.5999999999999994E-2</v>
      </c>
      <c r="G5" s="194">
        <v>4.4000000000000004E-2</v>
      </c>
      <c r="H5" s="194">
        <v>5.5E-2</v>
      </c>
      <c r="I5" s="194">
        <v>5.0999999999999997E-2</v>
      </c>
      <c r="J5" s="194">
        <v>0.05</v>
      </c>
      <c r="K5" s="742">
        <f>+J5</f>
        <v>0.05</v>
      </c>
      <c r="L5" s="224">
        <f>+K5</f>
        <v>0.05</v>
      </c>
      <c r="M5" s="224">
        <f t="shared" ref="M5:P8" si="1">+L5</f>
        <v>0.05</v>
      </c>
      <c r="N5" s="224">
        <f t="shared" si="1"/>
        <v>0.05</v>
      </c>
      <c r="O5" s="224">
        <f t="shared" si="1"/>
        <v>0.05</v>
      </c>
      <c r="P5" s="186">
        <f t="shared" si="1"/>
        <v>0.05</v>
      </c>
    </row>
    <row r="6" spans="1:16">
      <c r="B6" s="184" t="s">
        <v>15</v>
      </c>
      <c r="C6" s="372" t="s">
        <v>14</v>
      </c>
      <c r="E6" s="194">
        <v>3.4000000000000002E-2</v>
      </c>
      <c r="F6" s="194">
        <v>0.03</v>
      </c>
      <c r="G6" s="194">
        <v>2.4E-2</v>
      </c>
      <c r="H6" s="194">
        <v>2.3E-2</v>
      </c>
      <c r="I6" s="194">
        <v>2.3E-2</v>
      </c>
      <c r="J6" s="194">
        <v>2.2000000000000002E-2</v>
      </c>
      <c r="K6" s="742">
        <v>0.02</v>
      </c>
      <c r="L6" s="224">
        <f>+K6</f>
        <v>0.02</v>
      </c>
      <c r="M6" s="224">
        <f t="shared" si="1"/>
        <v>0.02</v>
      </c>
      <c r="N6" s="224">
        <f t="shared" si="1"/>
        <v>0.02</v>
      </c>
      <c r="O6" s="224">
        <f t="shared" si="1"/>
        <v>0.02</v>
      </c>
      <c r="P6" s="224">
        <f t="shared" si="1"/>
        <v>0.02</v>
      </c>
    </row>
    <row r="7" spans="1:16">
      <c r="B7" s="184" t="s">
        <v>16</v>
      </c>
      <c r="C7" s="372" t="s">
        <v>14</v>
      </c>
      <c r="E7" s="194">
        <v>0.02</v>
      </c>
      <c r="F7" s="194">
        <v>0.02</v>
      </c>
      <c r="G7" s="194">
        <v>1.8000000000000002E-2</v>
      </c>
      <c r="H7" s="194">
        <v>1.9E-2</v>
      </c>
      <c r="I7" s="194">
        <v>0.02</v>
      </c>
      <c r="J7" s="194">
        <v>0.02</v>
      </c>
      <c r="K7" s="742">
        <f>+J7</f>
        <v>0.02</v>
      </c>
      <c r="L7" s="224">
        <f>+K7</f>
        <v>0.02</v>
      </c>
      <c r="M7" s="224">
        <f t="shared" si="1"/>
        <v>0.02</v>
      </c>
      <c r="N7" s="224">
        <f t="shared" si="1"/>
        <v>0.02</v>
      </c>
      <c r="O7" s="224">
        <f t="shared" si="1"/>
        <v>0.02</v>
      </c>
      <c r="P7" s="224">
        <f t="shared" si="1"/>
        <v>0.02</v>
      </c>
    </row>
    <row r="8" spans="1:16">
      <c r="B8" s="184" t="s">
        <v>17</v>
      </c>
      <c r="C8" s="372" t="s">
        <v>14</v>
      </c>
      <c r="E8" s="194">
        <v>5.5E-2</v>
      </c>
      <c r="F8" s="194">
        <v>0.05</v>
      </c>
      <c r="G8" s="194">
        <v>3.9699999999999999E-2</v>
      </c>
      <c r="H8" s="194">
        <v>3.3000000000000002E-2</v>
      </c>
      <c r="I8" s="194">
        <v>2.86E-2</v>
      </c>
      <c r="J8" s="194">
        <v>2.8799999999999999E-2</v>
      </c>
      <c r="K8" s="742">
        <v>0.03</v>
      </c>
      <c r="L8" s="224">
        <f>+K8</f>
        <v>0.03</v>
      </c>
      <c r="M8" s="224">
        <f t="shared" si="1"/>
        <v>0.03</v>
      </c>
      <c r="N8" s="224">
        <f t="shared" si="1"/>
        <v>0.03</v>
      </c>
      <c r="O8" s="224">
        <f t="shared" si="1"/>
        <v>0.03</v>
      </c>
      <c r="P8" s="224">
        <f t="shared" si="1"/>
        <v>0.03</v>
      </c>
    </row>
    <row r="9" spans="1:16">
      <c r="B9" s="184" t="s">
        <v>19</v>
      </c>
      <c r="C9" s="372" t="s">
        <v>14</v>
      </c>
      <c r="E9" s="194">
        <v>5.3800000000000001E-2</v>
      </c>
      <c r="F9" s="194">
        <v>4.9100000000000005E-2</v>
      </c>
      <c r="G9" s="194">
        <v>3.7499999999999999E-2</v>
      </c>
      <c r="H9" s="742">
        <f>+H8</f>
        <v>3.3000000000000002E-2</v>
      </c>
      <c r="I9" s="224">
        <f t="shared" ref="I9:P9" si="2">+I8</f>
        <v>2.86E-2</v>
      </c>
      <c r="J9" s="224">
        <f t="shared" si="2"/>
        <v>2.8799999999999999E-2</v>
      </c>
      <c r="K9" s="224">
        <f t="shared" si="2"/>
        <v>0.03</v>
      </c>
      <c r="L9" s="224">
        <f t="shared" si="2"/>
        <v>0.03</v>
      </c>
      <c r="M9" s="224">
        <f t="shared" si="2"/>
        <v>0.03</v>
      </c>
      <c r="N9" s="224">
        <f t="shared" si="2"/>
        <v>0.03</v>
      </c>
      <c r="O9" s="224">
        <f t="shared" si="2"/>
        <v>0.03</v>
      </c>
      <c r="P9" s="224">
        <f t="shared" si="2"/>
        <v>0.03</v>
      </c>
    </row>
    <row r="10" spans="1:16">
      <c r="B10" s="184" t="s">
        <v>20</v>
      </c>
      <c r="C10" s="372" t="s">
        <v>14</v>
      </c>
      <c r="E10" s="194">
        <v>3.8800000000000001E-2</v>
      </c>
      <c r="F10" s="194">
        <v>4.2599999999999999E-2</v>
      </c>
      <c r="G10" s="194">
        <v>0.04</v>
      </c>
      <c r="H10" s="194">
        <v>3.9199999999999999E-2</v>
      </c>
      <c r="I10" s="194">
        <v>3.6799999999999999E-2</v>
      </c>
      <c r="J10" s="194">
        <v>3.6000000000000004E-2</v>
      </c>
      <c r="K10" s="742">
        <v>3.5000000000000003E-2</v>
      </c>
      <c r="L10" s="224">
        <f t="shared" ref="L10:P10" si="3">+K10</f>
        <v>3.5000000000000003E-2</v>
      </c>
      <c r="M10" s="224">
        <f t="shared" si="3"/>
        <v>3.5000000000000003E-2</v>
      </c>
      <c r="N10" s="224">
        <f t="shared" si="3"/>
        <v>3.5000000000000003E-2</v>
      </c>
      <c r="O10" s="224">
        <f t="shared" si="3"/>
        <v>3.5000000000000003E-2</v>
      </c>
      <c r="P10" s="224">
        <f t="shared" si="3"/>
        <v>3.5000000000000003E-2</v>
      </c>
    </row>
    <row r="11" spans="1:16">
      <c r="B11" s="184"/>
      <c r="C11" s="372"/>
      <c r="E11" s="194"/>
      <c r="F11" s="194"/>
      <c r="G11" s="194"/>
      <c r="H11" s="194"/>
      <c r="I11" s="194"/>
      <c r="J11" s="194"/>
      <c r="K11" s="742"/>
      <c r="L11" s="224"/>
      <c r="M11" s="224"/>
      <c r="N11" s="224"/>
      <c r="O11" s="224"/>
      <c r="P11" s="224"/>
    </row>
    <row r="12" spans="1:16">
      <c r="B12" s="401" t="s">
        <v>23</v>
      </c>
      <c r="C12" s="372"/>
      <c r="E12" s="194"/>
      <c r="F12" s="194"/>
      <c r="G12" s="194"/>
      <c r="H12" s="194"/>
      <c r="I12" s="194"/>
      <c r="J12" s="194"/>
      <c r="K12" s="742"/>
      <c r="L12" s="224"/>
      <c r="M12" s="224"/>
      <c r="N12" s="224"/>
      <c r="O12" s="224"/>
      <c r="P12" s="224"/>
    </row>
    <row r="13" spans="1:16">
      <c r="C13" s="372"/>
      <c r="E13" s="990"/>
      <c r="F13" s="990"/>
      <c r="G13" s="990"/>
      <c r="H13" s="990"/>
      <c r="I13" s="990"/>
      <c r="J13" s="990"/>
    </row>
    <row r="14" spans="1:16" ht="17" thickBot="1">
      <c r="A14" s="582" t="s">
        <v>10</v>
      </c>
      <c r="B14" s="610" t="s">
        <v>21</v>
      </c>
      <c r="C14" s="594"/>
      <c r="D14" s="594"/>
      <c r="E14" s="595"/>
      <c r="F14" s="595"/>
      <c r="G14" s="595"/>
      <c r="H14" s="595"/>
      <c r="I14" s="595"/>
      <c r="J14" s="595"/>
      <c r="K14" s="595"/>
      <c r="L14" s="595"/>
      <c r="M14" s="595"/>
      <c r="N14" s="595"/>
      <c r="O14" s="595"/>
      <c r="P14" s="595"/>
    </row>
    <row r="15" spans="1:16">
      <c r="B15" s="184" t="s">
        <v>22</v>
      </c>
      <c r="C15" s="372" t="s">
        <v>14</v>
      </c>
      <c r="E15" s="991">
        <v>0.26</v>
      </c>
      <c r="F15" s="742">
        <f>+E15</f>
        <v>0.26</v>
      </c>
      <c r="G15" s="186">
        <f>+F15</f>
        <v>0.26</v>
      </c>
      <c r="H15" s="186">
        <f t="shared" ref="H15:P15" si="4">+G15</f>
        <v>0.26</v>
      </c>
      <c r="I15" s="186">
        <f t="shared" si="4"/>
        <v>0.26</v>
      </c>
      <c r="J15" s="186">
        <f t="shared" si="4"/>
        <v>0.26</v>
      </c>
      <c r="K15" s="186">
        <f t="shared" si="4"/>
        <v>0.26</v>
      </c>
      <c r="L15" s="186">
        <f t="shared" si="4"/>
        <v>0.26</v>
      </c>
      <c r="M15" s="186">
        <f t="shared" si="4"/>
        <v>0.26</v>
      </c>
      <c r="N15" s="186">
        <f t="shared" si="4"/>
        <v>0.26</v>
      </c>
      <c r="O15" s="186">
        <f t="shared" si="4"/>
        <v>0.26</v>
      </c>
      <c r="P15" s="186">
        <f t="shared" si="4"/>
        <v>0.26</v>
      </c>
    </row>
    <row r="16" spans="1:16">
      <c r="B16" s="184"/>
      <c r="C16" s="372"/>
    </row>
    <row r="17" spans="2:3">
      <c r="B17" s="184"/>
      <c r="C17" s="37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AC39233423ED45B80EEEB03F1AC695" ma:contentTypeVersion="7" ma:contentTypeDescription="Create a new document." ma:contentTypeScope="" ma:versionID="8632f0b6267aaa520735f0325330d893">
  <xsd:schema xmlns:xsd="http://www.w3.org/2001/XMLSchema" xmlns:xs="http://www.w3.org/2001/XMLSchema" xmlns:p="http://schemas.microsoft.com/office/2006/metadata/properties" xmlns:ns2="de66df4d-a049-430a-a0a6-cf98c9cf970a" targetNamespace="http://schemas.microsoft.com/office/2006/metadata/properties" ma:root="true" ma:fieldsID="036b67543be1a37e7133c69b9215ad7b" ns2:_="">
    <xsd:import namespace="de66df4d-a049-430a-a0a6-cf98c9cf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6df4d-a049-430a-a0a6-cf98c9cf97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22389E-5409-4B61-806E-98BAF0099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66df4d-a049-430a-a0a6-cf98c9cf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CA5C9-5865-44D8-97F7-AE4AFA04E8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</vt:lpstr>
      <vt:lpstr>Control</vt:lpstr>
      <vt:lpstr>Exec. Summary</vt:lpstr>
      <vt:lpstr>Output</vt:lpstr>
      <vt:lpstr>Scenarios</vt:lpstr>
      <vt:lpstr>Value Creation Plan</vt:lpstr>
      <vt:lpstr>Model</vt:lpstr>
      <vt:lpstr>Historic FS</vt:lpstr>
      <vt:lpstr>Comps</vt:lpstr>
      <vt:lpstr>Valuation</vt:lpstr>
      <vt:lpstr>WACC</vt:lpstr>
      <vt:lpstr>Rf &amp; RM</vt:lpstr>
      <vt:lpstr>Betas</vt:lpstr>
      <vt:lpstr>Football Field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Doye</cp:lastModifiedBy>
  <cp:lastPrinted>2024-07-03T18:06:53Z</cp:lastPrinted>
  <dcterms:created xsi:type="dcterms:W3CDTF">2024-06-20T15:14:58Z</dcterms:created>
  <dcterms:modified xsi:type="dcterms:W3CDTF">2024-09-24T18:40:06Z</dcterms:modified>
</cp:coreProperties>
</file>