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1.xml" ContentType="application/vnd.openxmlformats-officedocument.spreadsheetml.chart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fael_so\Documents\"/>
    </mc:Choice>
  </mc:AlternateContent>
  <xr:revisionPtr revIDLastSave="0" documentId="13_ncr:1_{5B7D81C3-EBD3-45DA-AC86-4B651043C4EE}" xr6:coauthVersionLast="47" xr6:coauthVersionMax="47" xr10:uidLastSave="{00000000-0000-0000-0000-000000000000}"/>
  <bookViews>
    <workbookView xWindow="-105" yWindow="0" windowWidth="14610" windowHeight="15585" xr2:uid="{A6E2C065-F90D-491D-A08B-402110D0BDC5}"/>
  </bookViews>
  <sheets>
    <sheet name="TC_cálculo" sheetId="6" r:id="rId1"/>
    <sheet name="Curva_Nelson" sheetId="12" r:id="rId2"/>
    <sheet name="Classes por Norma" sheetId="10" r:id="rId3"/>
    <sheet name="Dados" sheetId="4" r:id="rId4"/>
    <sheet name="Paralelogramo 0,3" sheetId="8" r:id="rId5"/>
    <sheet name="TC_desenho_1" sheetId="2" r:id="rId6"/>
    <sheet name="Curva_Aço" sheetId="5" r:id="rId7"/>
    <sheet name="Dimensional" sheetId="9" r:id="rId8"/>
    <sheet name="Camadas" sheetId="11" r:id="rId9"/>
  </sheets>
  <definedNames>
    <definedName name="_xlnm.Print_Area" localSheetId="8">Camadas!$A$1:$AT$89</definedName>
    <definedName name="_xlnm.Print_Area" localSheetId="2">'Classes por Norma'!$A$188:$K$210</definedName>
    <definedName name="_xlnm.Print_Area" localSheetId="3">Dados!$A$202:$K$242</definedName>
    <definedName name="_xlnm.Print_Area" localSheetId="7">Dimensional!$A$1:$AT$87</definedName>
    <definedName name="_xlnm.Print_Area" localSheetId="0">TC_cálculo!$A$1:$X$127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9" i="6" l="1"/>
  <c r="M73" i="6"/>
  <c r="J73" i="6"/>
  <c r="G73" i="6"/>
  <c r="P5" i="6"/>
  <c r="BO64" i="6"/>
  <c r="BO65" i="6" s="1"/>
  <c r="BO66" i="6" s="1"/>
  <c r="BO67" i="6" s="1"/>
  <c r="BO68" i="6" s="1"/>
  <c r="BO69" i="6" s="1"/>
  <c r="BO70" i="6" s="1"/>
  <c r="BO71" i="6" s="1"/>
  <c r="BO72" i="6" s="1"/>
  <c r="BO73" i="6" s="1"/>
  <c r="BO74" i="6" s="1"/>
  <c r="BO75" i="6" s="1"/>
  <c r="BO76" i="6" s="1"/>
  <c r="BO77" i="6" s="1"/>
  <c r="BO78" i="6" s="1"/>
  <c r="BO79" i="6" s="1"/>
  <c r="BO80" i="6" s="1"/>
  <c r="BO81" i="6" s="1"/>
  <c r="BO82" i="6" s="1"/>
  <c r="BO83" i="6" s="1"/>
  <c r="BO84" i="6" s="1"/>
  <c r="BO85" i="6" s="1"/>
  <c r="BO86" i="6" s="1"/>
  <c r="BO87" i="6" s="1"/>
  <c r="BO88" i="6" s="1"/>
  <c r="BO89" i="6" s="1"/>
  <c r="BO90" i="6" s="1"/>
  <c r="BO91" i="6" s="1"/>
  <c r="BO92" i="6" s="1"/>
  <c r="BO93" i="6" s="1"/>
  <c r="BO94" i="6" s="1"/>
  <c r="BO95" i="6" s="1"/>
  <c r="BO96" i="6" s="1"/>
  <c r="BO97" i="6" s="1"/>
  <c r="BO98" i="6" s="1"/>
  <c r="BO99" i="6" s="1"/>
  <c r="BO100" i="6" s="1"/>
  <c r="BO101" i="6" s="1"/>
  <c r="BO102" i="6" s="1"/>
  <c r="BO103" i="6" s="1"/>
  <c r="BO104" i="6" s="1"/>
  <c r="BO105" i="6" s="1"/>
  <c r="BO106" i="6" s="1"/>
  <c r="BO107" i="6" s="1"/>
  <c r="BO108" i="6" s="1"/>
  <c r="BO109" i="6" s="1"/>
  <c r="BO110" i="6" s="1"/>
  <c r="BO111" i="6" s="1"/>
  <c r="BO112" i="6" s="1"/>
  <c r="BO113" i="6" s="1"/>
  <c r="BO114" i="6" s="1"/>
  <c r="BO115" i="6" s="1"/>
  <c r="BO116" i="6" s="1"/>
  <c r="BO117" i="6" s="1"/>
  <c r="BO118" i="6" s="1"/>
  <c r="BO119" i="6" s="1"/>
  <c r="BO120" i="6" s="1"/>
  <c r="BO121" i="6" s="1"/>
  <c r="BO122" i="6" s="1"/>
  <c r="BO123" i="6" s="1"/>
  <c r="BK64" i="6"/>
  <c r="BK65" i="6" s="1"/>
  <c r="BK66" i="6" s="1"/>
  <c r="BK67" i="6" s="1"/>
  <c r="BK68" i="6" s="1"/>
  <c r="BK69" i="6" s="1"/>
  <c r="BK70" i="6" s="1"/>
  <c r="BK71" i="6" s="1"/>
  <c r="BK72" i="6" s="1"/>
  <c r="BK73" i="6" s="1"/>
  <c r="BK74" i="6" s="1"/>
  <c r="BK75" i="6" s="1"/>
  <c r="BK76" i="6" s="1"/>
  <c r="BK77" i="6" s="1"/>
  <c r="BK78" i="6" s="1"/>
  <c r="BK79" i="6" s="1"/>
  <c r="BK80" i="6" s="1"/>
  <c r="BK81" i="6" s="1"/>
  <c r="BK82" i="6" s="1"/>
  <c r="BK83" i="6" s="1"/>
  <c r="BK84" i="6" s="1"/>
  <c r="BK85" i="6" s="1"/>
  <c r="BK86" i="6" s="1"/>
  <c r="BK87" i="6" s="1"/>
  <c r="BK88" i="6" s="1"/>
  <c r="BK89" i="6" s="1"/>
  <c r="BK90" i="6" s="1"/>
  <c r="BK91" i="6" s="1"/>
  <c r="BK92" i="6" s="1"/>
  <c r="BK93" i="6" s="1"/>
  <c r="BK94" i="6" s="1"/>
  <c r="BK95" i="6" s="1"/>
  <c r="BK96" i="6" s="1"/>
  <c r="BK97" i="6" s="1"/>
  <c r="BK98" i="6" s="1"/>
  <c r="BK99" i="6" s="1"/>
  <c r="BK100" i="6" s="1"/>
  <c r="BK101" i="6" s="1"/>
  <c r="BK102" i="6" s="1"/>
  <c r="BK103" i="6" s="1"/>
  <c r="BK104" i="6" s="1"/>
  <c r="BK105" i="6" s="1"/>
  <c r="BK106" i="6" s="1"/>
  <c r="BK107" i="6" s="1"/>
  <c r="BK108" i="6" s="1"/>
  <c r="BK109" i="6" s="1"/>
  <c r="BK110" i="6" s="1"/>
  <c r="BK111" i="6" s="1"/>
  <c r="BK112" i="6" s="1"/>
  <c r="BK113" i="6" s="1"/>
  <c r="BK114" i="6" s="1"/>
  <c r="BK115" i="6" s="1"/>
  <c r="BK116" i="6" s="1"/>
  <c r="BK117" i="6" s="1"/>
  <c r="BK118" i="6" s="1"/>
  <c r="BK119" i="6" s="1"/>
  <c r="BK120" i="6" s="1"/>
  <c r="BK121" i="6" s="1"/>
  <c r="BK122" i="6" s="1"/>
  <c r="BK123" i="6" s="1"/>
  <c r="BK124" i="6" s="1"/>
  <c r="BK125" i="6" s="1"/>
  <c r="BK126" i="6" s="1"/>
  <c r="BK127" i="6" s="1"/>
  <c r="BK128" i="6" s="1"/>
  <c r="BK129" i="6" s="1"/>
  <c r="BK130" i="6" s="1"/>
  <c r="BK131" i="6" s="1"/>
  <c r="BK132" i="6" s="1"/>
  <c r="BK133" i="6" s="1"/>
  <c r="BK134" i="6" s="1"/>
  <c r="BK135" i="6" s="1"/>
  <c r="BK136" i="6" s="1"/>
  <c r="BK137" i="6" s="1"/>
  <c r="BK138" i="6" s="1"/>
  <c r="BK139" i="6" s="1"/>
  <c r="BK140" i="6" s="1"/>
  <c r="BK141" i="6" s="1"/>
  <c r="BK142" i="6" s="1"/>
  <c r="BK143" i="6" s="1"/>
  <c r="BK144" i="6" s="1"/>
  <c r="BK145" i="6" s="1"/>
  <c r="BK146" i="6" s="1"/>
  <c r="BK147" i="6" s="1"/>
  <c r="BK148" i="6" s="1"/>
  <c r="BK149" i="6" s="1"/>
  <c r="BK150" i="6" s="1"/>
  <c r="BK151" i="6" s="1"/>
  <c r="BK152" i="6" s="1"/>
  <c r="BK153" i="6" s="1"/>
  <c r="BK154" i="6" s="1"/>
  <c r="BK155" i="6" s="1"/>
  <c r="BK156" i="6" s="1"/>
  <c r="BK157" i="6" s="1"/>
  <c r="BK158" i="6" s="1"/>
  <c r="BK159" i="6" s="1"/>
  <c r="D77" i="6" l="1"/>
  <c r="X9" i="6" l="1"/>
  <c r="U9" i="6"/>
  <c r="L55" i="6"/>
  <c r="AQ16" i="6"/>
  <c r="AJ66" i="6"/>
  <c r="AM66" i="6" s="1"/>
  <c r="AP66" i="6" s="1"/>
  <c r="AS66" i="6" s="1"/>
  <c r="AV66" i="6" s="1"/>
  <c r="BF98" i="6"/>
  <c r="BF97" i="6"/>
  <c r="BF96" i="6"/>
  <c r="BF95" i="6"/>
  <c r="BF94" i="6"/>
  <c r="BF93" i="6"/>
  <c r="BF92" i="6"/>
  <c r="BF91" i="6"/>
  <c r="BF90" i="6"/>
  <c r="BF89" i="6"/>
  <c r="BF88" i="6"/>
  <c r="BF87" i="6"/>
  <c r="BF86" i="6"/>
  <c r="BF85" i="6"/>
  <c r="BF84" i="6"/>
  <c r="BF83" i="6"/>
  <c r="BF82" i="6"/>
  <c r="BF81" i="6"/>
  <c r="BF80" i="6"/>
  <c r="BF79" i="6"/>
  <c r="BF78" i="6"/>
  <c r="BF77" i="6"/>
  <c r="BF76" i="6"/>
  <c r="BF75" i="6"/>
  <c r="BF74" i="6"/>
  <c r="BF73" i="6"/>
  <c r="BF72" i="6"/>
  <c r="BF71" i="6"/>
  <c r="BF70" i="6"/>
  <c r="BF69" i="6"/>
  <c r="BF68" i="6"/>
  <c r="BF67" i="6"/>
  <c r="BF66" i="6"/>
  <c r="BF65" i="6"/>
  <c r="BF64" i="6"/>
  <c r="BD98" i="6"/>
  <c r="BD97" i="6"/>
  <c r="BD96" i="6"/>
  <c r="BD95" i="6"/>
  <c r="BD94" i="6"/>
  <c r="BD93" i="6"/>
  <c r="BD92" i="6"/>
  <c r="BD91" i="6"/>
  <c r="BD90" i="6"/>
  <c r="BD89" i="6"/>
  <c r="BD88" i="6"/>
  <c r="BD87" i="6"/>
  <c r="BD86" i="6"/>
  <c r="BD85" i="6"/>
  <c r="BD84" i="6"/>
  <c r="BD83" i="6"/>
  <c r="BD82" i="6"/>
  <c r="BD81" i="6"/>
  <c r="BD80" i="6"/>
  <c r="BD79" i="6"/>
  <c r="BD78" i="6"/>
  <c r="BD77" i="6"/>
  <c r="BD76" i="6"/>
  <c r="BD75" i="6"/>
  <c r="BD74" i="6"/>
  <c r="BD73" i="6"/>
  <c r="BD72" i="6"/>
  <c r="BD71" i="6"/>
  <c r="BD70" i="6"/>
  <c r="BD69" i="6"/>
  <c r="BD68" i="6"/>
  <c r="BD67" i="6"/>
  <c r="BD66" i="6"/>
  <c r="BD65" i="6"/>
  <c r="BB98" i="6"/>
  <c r="BB97" i="6"/>
  <c r="BB96" i="6"/>
  <c r="BB95" i="6"/>
  <c r="BB94" i="6"/>
  <c r="BB93" i="6"/>
  <c r="BB92" i="6"/>
  <c r="BB91" i="6"/>
  <c r="BB90" i="6"/>
  <c r="BB89" i="6"/>
  <c r="BB88" i="6"/>
  <c r="BB87" i="6"/>
  <c r="BB86" i="6"/>
  <c r="BB85" i="6"/>
  <c r="BB84" i="6"/>
  <c r="BB83" i="6"/>
  <c r="BB82" i="6"/>
  <c r="BB81" i="6"/>
  <c r="BB80" i="6"/>
  <c r="BB79" i="6"/>
  <c r="BB78" i="6"/>
  <c r="BB77" i="6"/>
  <c r="BB76" i="6"/>
  <c r="BB75" i="6"/>
  <c r="BB74" i="6"/>
  <c r="BB73" i="6"/>
  <c r="BB72" i="6"/>
  <c r="BB71" i="6"/>
  <c r="BB70" i="6"/>
  <c r="BB69" i="6"/>
  <c r="BB68" i="6"/>
  <c r="BB67" i="6"/>
  <c r="BB66" i="6"/>
  <c r="BB65" i="6"/>
  <c r="BD64" i="6"/>
  <c r="BB64" i="6"/>
  <c r="B54" i="6"/>
  <c r="R69" i="6"/>
  <c r="L69" i="6"/>
  <c r="V38" i="6"/>
  <c r="H361" i="12" l="1"/>
  <c r="G361" i="12"/>
  <c r="H360" i="12"/>
  <c r="G360" i="12"/>
  <c r="H359" i="12"/>
  <c r="G359" i="12"/>
  <c r="H358" i="12"/>
  <c r="G358" i="12"/>
  <c r="H357" i="12"/>
  <c r="G357" i="12"/>
  <c r="H356" i="12"/>
  <c r="G356" i="12"/>
  <c r="H355" i="12"/>
  <c r="G355" i="12"/>
  <c r="H354" i="12"/>
  <c r="G354" i="12"/>
  <c r="H353" i="12"/>
  <c r="G353" i="12"/>
  <c r="H352" i="12"/>
  <c r="G352" i="12"/>
  <c r="H351" i="12"/>
  <c r="G351" i="12"/>
  <c r="H350" i="12"/>
  <c r="G350" i="12"/>
  <c r="H349" i="12"/>
  <c r="G349" i="12"/>
  <c r="H348" i="12"/>
  <c r="G348" i="12"/>
  <c r="H347" i="12"/>
  <c r="G347" i="12"/>
  <c r="H346" i="12"/>
  <c r="G346" i="12"/>
  <c r="H345" i="12"/>
  <c r="G345" i="12"/>
  <c r="H344" i="12"/>
  <c r="G344" i="12"/>
  <c r="H343" i="12"/>
  <c r="G343" i="12"/>
  <c r="H342" i="12"/>
  <c r="G342" i="12"/>
  <c r="H341" i="12"/>
  <c r="G341" i="12"/>
  <c r="H340" i="12"/>
  <c r="G340" i="12"/>
  <c r="H339" i="12"/>
  <c r="G339" i="12"/>
  <c r="H338" i="12"/>
  <c r="G338" i="12"/>
  <c r="H337" i="12"/>
  <c r="G337" i="12"/>
  <c r="H336" i="12"/>
  <c r="G336" i="12"/>
  <c r="H335" i="12"/>
  <c r="G335" i="12"/>
  <c r="H334" i="12"/>
  <c r="G334" i="12"/>
  <c r="H333" i="12"/>
  <c r="G333" i="12"/>
  <c r="H332" i="12"/>
  <c r="G332" i="12"/>
  <c r="H331" i="12"/>
  <c r="G331" i="12"/>
  <c r="H330" i="12"/>
  <c r="G330" i="12"/>
  <c r="H329" i="12"/>
  <c r="G329" i="12"/>
  <c r="H328" i="12"/>
  <c r="G328" i="12"/>
  <c r="H327" i="12"/>
  <c r="G327" i="12"/>
  <c r="H291" i="12"/>
  <c r="G291" i="12"/>
  <c r="H290" i="12"/>
  <c r="G290" i="12"/>
  <c r="H289" i="12"/>
  <c r="G289" i="12"/>
  <c r="H288" i="12"/>
  <c r="G288" i="12"/>
  <c r="H287" i="12"/>
  <c r="G287" i="12"/>
  <c r="H286" i="12"/>
  <c r="G286" i="12"/>
  <c r="H285" i="12"/>
  <c r="G285" i="12"/>
  <c r="H284" i="12"/>
  <c r="G284" i="12"/>
  <c r="H283" i="12"/>
  <c r="G283" i="12"/>
  <c r="H282" i="12"/>
  <c r="G282" i="12"/>
  <c r="H281" i="12"/>
  <c r="G281" i="12"/>
  <c r="H280" i="12"/>
  <c r="G280" i="12"/>
  <c r="H279" i="12"/>
  <c r="G279" i="12"/>
  <c r="H278" i="12"/>
  <c r="G278" i="12"/>
  <c r="H277" i="12"/>
  <c r="G277" i="12"/>
  <c r="H276" i="12"/>
  <c r="G276" i="12"/>
  <c r="H275" i="12"/>
  <c r="G275" i="12"/>
  <c r="H274" i="12"/>
  <c r="G274" i="12"/>
  <c r="H273" i="12"/>
  <c r="G273" i="12"/>
  <c r="H272" i="12"/>
  <c r="G272" i="12"/>
  <c r="H271" i="12"/>
  <c r="G271" i="12"/>
  <c r="H270" i="12"/>
  <c r="G270" i="12"/>
  <c r="H269" i="12"/>
  <c r="G269" i="12"/>
  <c r="H268" i="12"/>
  <c r="G268" i="12"/>
  <c r="H267" i="12"/>
  <c r="G267" i="12"/>
  <c r="H266" i="12"/>
  <c r="G266" i="12"/>
  <c r="H265" i="12"/>
  <c r="G265" i="12"/>
  <c r="H264" i="12"/>
  <c r="G264" i="12"/>
  <c r="H263" i="12"/>
  <c r="G263" i="12"/>
  <c r="H262" i="12"/>
  <c r="G262" i="12"/>
  <c r="H261" i="12"/>
  <c r="G261" i="12"/>
  <c r="H260" i="12"/>
  <c r="G260" i="12"/>
  <c r="H259" i="12"/>
  <c r="G259" i="12"/>
  <c r="H258" i="12"/>
  <c r="G258" i="12"/>
  <c r="H257" i="12"/>
  <c r="G257" i="12"/>
  <c r="H256" i="12"/>
  <c r="G256" i="12"/>
  <c r="H255" i="12"/>
  <c r="G255" i="12"/>
  <c r="H254" i="12"/>
  <c r="G254" i="12"/>
  <c r="H253" i="12"/>
  <c r="G253" i="12"/>
  <c r="H252" i="12"/>
  <c r="G252" i="12"/>
  <c r="H251" i="12"/>
  <c r="G251" i="12"/>
  <c r="H250" i="12"/>
  <c r="G250" i="12"/>
  <c r="H249" i="12"/>
  <c r="G249" i="12"/>
  <c r="H248" i="12"/>
  <c r="G248" i="12"/>
  <c r="H247" i="12"/>
  <c r="G247" i="12"/>
  <c r="H246" i="12"/>
  <c r="G246" i="12"/>
  <c r="H245" i="12"/>
  <c r="G245" i="12"/>
  <c r="H244" i="12"/>
  <c r="G244" i="12"/>
  <c r="H243" i="12"/>
  <c r="G243" i="12"/>
  <c r="H242" i="12"/>
  <c r="G242" i="12"/>
  <c r="H241" i="12"/>
  <c r="G241" i="12"/>
  <c r="H240" i="12"/>
  <c r="G240" i="12"/>
  <c r="H239" i="12"/>
  <c r="G239" i="12"/>
  <c r="H238" i="12"/>
  <c r="G238" i="12"/>
  <c r="H237" i="12"/>
  <c r="G237" i="12"/>
  <c r="H236" i="12"/>
  <c r="G236" i="12"/>
  <c r="H235" i="12"/>
  <c r="G235" i="12"/>
  <c r="H234" i="12"/>
  <c r="G234" i="12"/>
  <c r="H233" i="12"/>
  <c r="G233" i="12"/>
  <c r="H232" i="12"/>
  <c r="G232" i="12"/>
  <c r="H231" i="12"/>
  <c r="G231" i="12"/>
  <c r="H230" i="12"/>
  <c r="G230" i="12"/>
  <c r="H229" i="12"/>
  <c r="G229" i="12"/>
  <c r="H228" i="12"/>
  <c r="G228" i="12"/>
  <c r="H227" i="12"/>
  <c r="G227" i="12"/>
  <c r="H226" i="12"/>
  <c r="G226" i="12"/>
  <c r="H225" i="12"/>
  <c r="G225" i="12"/>
  <c r="H224" i="12"/>
  <c r="G224" i="12"/>
  <c r="H223" i="12"/>
  <c r="G223" i="12"/>
  <c r="H222" i="12"/>
  <c r="G222" i="12"/>
  <c r="H221" i="12"/>
  <c r="G221" i="12"/>
  <c r="H220" i="12"/>
  <c r="G220" i="12"/>
  <c r="H219" i="12"/>
  <c r="G219" i="12"/>
  <c r="H218" i="12"/>
  <c r="G218" i="12"/>
  <c r="H217" i="12"/>
  <c r="G217" i="12"/>
  <c r="H216" i="12"/>
  <c r="G216" i="12"/>
  <c r="H215" i="12"/>
  <c r="G215" i="12"/>
  <c r="H214" i="12"/>
  <c r="G214" i="12"/>
  <c r="H213" i="12"/>
  <c r="G213" i="12"/>
  <c r="H212" i="12"/>
  <c r="G212" i="12"/>
  <c r="H211" i="12"/>
  <c r="G211" i="12"/>
  <c r="H210" i="12"/>
  <c r="G210" i="12"/>
  <c r="H209" i="12"/>
  <c r="G209" i="12"/>
  <c r="H208" i="12"/>
  <c r="G208" i="12"/>
  <c r="H207" i="12"/>
  <c r="G207" i="12"/>
  <c r="H206" i="12"/>
  <c r="G206" i="12"/>
  <c r="H205" i="12"/>
  <c r="G205" i="12"/>
  <c r="H204" i="12"/>
  <c r="G204" i="12"/>
  <c r="H203" i="12"/>
  <c r="G203" i="12"/>
  <c r="H202" i="12"/>
  <c r="G202" i="12"/>
  <c r="H201" i="12"/>
  <c r="G201" i="12"/>
  <c r="H200" i="12"/>
  <c r="G200" i="12"/>
  <c r="H199" i="12"/>
  <c r="G199" i="12"/>
  <c r="H198" i="12"/>
  <c r="G198" i="12"/>
  <c r="H197" i="12"/>
  <c r="G197" i="12"/>
  <c r="H196" i="12"/>
  <c r="G196" i="12"/>
  <c r="H195" i="12"/>
  <c r="G195" i="12"/>
  <c r="H194" i="12"/>
  <c r="G194" i="12"/>
  <c r="H193" i="12"/>
  <c r="G193" i="12"/>
  <c r="H192" i="12"/>
  <c r="G192" i="12"/>
  <c r="H191" i="12"/>
  <c r="G191" i="12"/>
  <c r="H190" i="12"/>
  <c r="G190" i="12"/>
  <c r="H189" i="12"/>
  <c r="G189" i="12"/>
  <c r="H188" i="12"/>
  <c r="G188" i="12"/>
  <c r="H187" i="12"/>
  <c r="G187" i="12"/>
  <c r="H186" i="12"/>
  <c r="G186" i="12"/>
  <c r="H185" i="12"/>
  <c r="G185" i="12"/>
  <c r="H184" i="12"/>
  <c r="G184" i="12"/>
  <c r="H183" i="12"/>
  <c r="G183" i="12"/>
  <c r="H182" i="12"/>
  <c r="G182" i="12"/>
  <c r="H181" i="12"/>
  <c r="G181" i="12"/>
  <c r="H180" i="12"/>
  <c r="G180" i="12"/>
  <c r="H179" i="12"/>
  <c r="G179" i="12"/>
  <c r="H178" i="12"/>
  <c r="G178" i="12"/>
  <c r="H177" i="12"/>
  <c r="G177" i="12"/>
  <c r="H176" i="12"/>
  <c r="G176" i="12"/>
  <c r="H175" i="12"/>
  <c r="G175" i="12"/>
  <c r="H174" i="12"/>
  <c r="G174" i="12"/>
  <c r="H173" i="12"/>
  <c r="G173" i="12"/>
  <c r="H172" i="12"/>
  <c r="G172" i="12"/>
  <c r="H171" i="12"/>
  <c r="G171" i="12"/>
  <c r="H170" i="12"/>
  <c r="G170" i="12"/>
  <c r="H169" i="12"/>
  <c r="G169" i="12"/>
  <c r="H168" i="12"/>
  <c r="G168" i="12"/>
  <c r="H167" i="12"/>
  <c r="G167" i="12"/>
  <c r="H166" i="12"/>
  <c r="G166" i="12"/>
  <c r="H165" i="12"/>
  <c r="G165" i="12"/>
  <c r="H164" i="12"/>
  <c r="G164" i="12"/>
  <c r="H163" i="12"/>
  <c r="G163" i="12"/>
  <c r="H162" i="12"/>
  <c r="G162" i="12"/>
  <c r="H161" i="12"/>
  <c r="G161" i="12"/>
  <c r="H160" i="12"/>
  <c r="G160" i="12"/>
  <c r="H159" i="12"/>
  <c r="G159" i="12"/>
  <c r="H158" i="12"/>
  <c r="G158" i="12"/>
  <c r="H157" i="12"/>
  <c r="G157" i="12"/>
  <c r="H156" i="12"/>
  <c r="G156" i="12"/>
  <c r="H155" i="12"/>
  <c r="G155" i="12"/>
  <c r="H154" i="12"/>
  <c r="G154" i="12"/>
  <c r="H153" i="12"/>
  <c r="G153" i="12"/>
  <c r="H152" i="12"/>
  <c r="G152" i="12"/>
  <c r="H151" i="12"/>
  <c r="G151" i="12"/>
  <c r="H150" i="12"/>
  <c r="G150" i="12"/>
  <c r="H149" i="12"/>
  <c r="G149" i="12"/>
  <c r="H148" i="12"/>
  <c r="G148" i="12"/>
  <c r="H147" i="12"/>
  <c r="G147" i="12"/>
  <c r="BD63" i="6" l="1"/>
  <c r="Q57" i="6" l="1"/>
  <c r="N57" i="6"/>
  <c r="R57" i="6" s="1"/>
  <c r="O12" i="6" s="1"/>
  <c r="M57" i="6" l="1"/>
  <c r="J35" i="6" l="1"/>
  <c r="J36" i="6"/>
  <c r="H244" i="10" l="1"/>
  <c r="H225" i="10"/>
  <c r="I223" i="10"/>
  <c r="H221" i="10"/>
  <c r="H219" i="10"/>
  <c r="K218" i="10"/>
  <c r="J217" i="10"/>
  <c r="A243" i="10"/>
  <c r="A244" i="10" s="1"/>
  <c r="A245" i="10" s="1"/>
  <c r="A246" i="10" s="1"/>
  <c r="A247" i="10" s="1"/>
  <c r="A248" i="10" s="1"/>
  <c r="A249" i="10" s="1"/>
  <c r="A250" i="10" s="1"/>
  <c r="A242" i="10"/>
  <c r="H234" i="10"/>
  <c r="G234" i="10"/>
  <c r="F234" i="10"/>
  <c r="A230" i="10"/>
  <c r="A231" i="10" s="1"/>
  <c r="A232" i="10" s="1"/>
  <c r="A233" i="10" s="1"/>
  <c r="A234" i="10" s="1"/>
  <c r="A235" i="10" s="1"/>
  <c r="A236" i="10" s="1"/>
  <c r="A237" i="10" s="1"/>
  <c r="A238" i="10" s="1"/>
  <c r="F226" i="10"/>
  <c r="F225" i="10"/>
  <c r="F224" i="10"/>
  <c r="F223" i="10"/>
  <c r="F222" i="10"/>
  <c r="F221" i="10"/>
  <c r="F220" i="10"/>
  <c r="G219" i="10"/>
  <c r="F219" i="10"/>
  <c r="A219" i="10"/>
  <c r="A220" i="10" s="1"/>
  <c r="A221" i="10" s="1"/>
  <c r="A222" i="10" s="1"/>
  <c r="A223" i="10" s="1"/>
  <c r="A224" i="10" s="1"/>
  <c r="A225" i="10" s="1"/>
  <c r="A226" i="10" s="1"/>
  <c r="J218" i="10"/>
  <c r="I218" i="10"/>
  <c r="H218" i="10"/>
  <c r="G218" i="10"/>
  <c r="F218" i="10"/>
  <c r="A218" i="10"/>
  <c r="I217" i="10"/>
  <c r="H217" i="10"/>
  <c r="F217" i="10"/>
  <c r="R68" i="6" l="1"/>
  <c r="L68" i="6"/>
  <c r="H10" i="6" l="1"/>
  <c r="F9" i="6"/>
  <c r="D10" i="6"/>
  <c r="CC12" i="6" l="1"/>
  <c r="DW3" i="6" l="1"/>
  <c r="DW4" i="6" s="1"/>
  <c r="DW5" i="6" s="1"/>
  <c r="DW6" i="6" s="1"/>
  <c r="DW7" i="6" s="1"/>
  <c r="DW8" i="6" s="1"/>
  <c r="DW9" i="6" s="1"/>
  <c r="DW10" i="6" s="1"/>
  <c r="DW11" i="6" s="1"/>
  <c r="FA12" i="6"/>
  <c r="DX11" i="6" s="1"/>
  <c r="FA11" i="6"/>
  <c r="DX10" i="6" s="1"/>
  <c r="FA10" i="6"/>
  <c r="DX9" i="6" s="1"/>
  <c r="FA9" i="6"/>
  <c r="DX8" i="6" s="1"/>
  <c r="FA8" i="6"/>
  <c r="DX7" i="6" s="1"/>
  <c r="FA7" i="6"/>
  <c r="FA6" i="6"/>
  <c r="FA5" i="6"/>
  <c r="FA4" i="6"/>
  <c r="FA3" i="6"/>
  <c r="EV9" i="6"/>
  <c r="EV8" i="6"/>
  <c r="EV7" i="6"/>
  <c r="EV6" i="6"/>
  <c r="EV5" i="6"/>
  <c r="EV4" i="6"/>
  <c r="EV3" i="6"/>
  <c r="EQ11" i="6"/>
  <c r="EQ10" i="6"/>
  <c r="EQ9" i="6"/>
  <c r="EQ8" i="6"/>
  <c r="EQ7" i="6"/>
  <c r="EQ6" i="6"/>
  <c r="EQ5" i="6"/>
  <c r="EQ4" i="6"/>
  <c r="EQ3" i="6"/>
  <c r="EA7" i="6"/>
  <c r="EA6" i="6"/>
  <c r="EA5" i="6"/>
  <c r="EA4" i="6"/>
  <c r="EA3" i="6"/>
  <c r="CV6" i="6"/>
  <c r="CV5" i="6"/>
  <c r="CV4" i="6"/>
  <c r="CV3" i="6"/>
  <c r="CQ8" i="6"/>
  <c r="CQ7" i="6"/>
  <c r="CQ6" i="6"/>
  <c r="CQ5" i="6"/>
  <c r="CQ4" i="6"/>
  <c r="CQ3" i="6"/>
  <c r="CL9" i="6"/>
  <c r="CL8" i="6"/>
  <c r="CL7" i="6"/>
  <c r="CL6" i="6"/>
  <c r="CL5" i="6"/>
  <c r="CL4" i="6"/>
  <c r="CL3" i="6"/>
  <c r="CF10" i="6"/>
  <c r="CF9" i="6"/>
  <c r="CF8" i="6"/>
  <c r="CF7" i="6"/>
  <c r="CF6" i="6"/>
  <c r="CF5" i="6"/>
  <c r="CF4" i="6"/>
  <c r="CF3" i="6"/>
  <c r="V12" i="6"/>
  <c r="AS16" i="6"/>
  <c r="AX16" i="6"/>
  <c r="AN18" i="6"/>
  <c r="AP17" i="6"/>
  <c r="AR17" i="6" s="1"/>
  <c r="AT17" i="6" s="1"/>
  <c r="AV17" i="6" s="1"/>
  <c r="AX17" i="6" s="1"/>
  <c r="AZ17" i="6" s="1"/>
  <c r="BB17" i="6" s="1"/>
  <c r="BD17" i="6" s="1"/>
  <c r="BF17" i="6" s="1"/>
  <c r="AP12" i="6"/>
  <c r="AR12" i="6" s="1"/>
  <c r="AT12" i="6" s="1"/>
  <c r="AV12" i="6" s="1"/>
  <c r="AK28" i="6" l="1"/>
  <c r="AH29" i="6"/>
  <c r="AH30" i="6" s="1"/>
  <c r="AI39" i="6"/>
  <c r="AJ39" i="6" s="1"/>
  <c r="AK39" i="6" s="1"/>
  <c r="AL39" i="6" s="1"/>
  <c r="L92" i="4"/>
  <c r="L91" i="4"/>
  <c r="L90" i="4"/>
  <c r="D89" i="4"/>
  <c r="AB89" i="4"/>
  <c r="AB90" i="4"/>
  <c r="AB91" i="4"/>
  <c r="AB92" i="4"/>
  <c r="L94" i="4"/>
  <c r="L93" i="4"/>
  <c r="L98" i="4"/>
  <c r="L97" i="4"/>
  <c r="L96" i="4"/>
  <c r="L95" i="4"/>
  <c r="K98" i="4"/>
  <c r="J98" i="4"/>
  <c r="K97" i="4"/>
  <c r="J97" i="4"/>
  <c r="K96" i="4"/>
  <c r="J96" i="4"/>
  <c r="K95" i="4"/>
  <c r="J95" i="4"/>
  <c r="K94" i="4"/>
  <c r="J94" i="4"/>
  <c r="K93" i="4"/>
  <c r="J93" i="4"/>
  <c r="K92" i="4"/>
  <c r="J92" i="4"/>
  <c r="K91" i="4"/>
  <c r="J91" i="4"/>
  <c r="K90" i="4"/>
  <c r="J90" i="4"/>
  <c r="K89" i="4"/>
  <c r="J89" i="4"/>
  <c r="L89" i="4"/>
  <c r="I98" i="4"/>
  <c r="I97" i="4"/>
  <c r="AH31" i="6" l="1"/>
  <c r="B26" i="11"/>
  <c r="C26" i="11" s="1"/>
  <c r="D26" i="11" s="1"/>
  <c r="B25" i="11"/>
  <c r="C25" i="11" s="1"/>
  <c r="D25" i="11" s="1"/>
  <c r="B24" i="11"/>
  <c r="C24" i="11" s="1"/>
  <c r="D24" i="11" s="1"/>
  <c r="B23" i="11"/>
  <c r="C23" i="11" s="1"/>
  <c r="D23" i="11" s="1"/>
  <c r="B22" i="11"/>
  <c r="C22" i="11" s="1"/>
  <c r="D22" i="11" s="1"/>
  <c r="B18" i="11"/>
  <c r="C18" i="11" s="1"/>
  <c r="D18" i="11" s="1"/>
  <c r="B17" i="11"/>
  <c r="C17" i="11" s="1"/>
  <c r="D17" i="11" s="1"/>
  <c r="B16" i="11"/>
  <c r="C16" i="11" s="1"/>
  <c r="D16" i="11" s="1"/>
  <c r="B15" i="11"/>
  <c r="C15" i="11"/>
  <c r="D15" i="11" s="1"/>
  <c r="AV2" i="11"/>
  <c r="AN25" i="6"/>
  <c r="AH32" i="6" l="1"/>
  <c r="I96" i="4"/>
  <c r="I95" i="4"/>
  <c r="I94" i="4"/>
  <c r="I93" i="4"/>
  <c r="I92" i="4"/>
  <c r="I91" i="4"/>
  <c r="I90" i="4"/>
  <c r="I89" i="4"/>
  <c r="AH33" i="6" l="1"/>
  <c r="D179" i="10"/>
  <c r="D180" i="10" s="1"/>
  <c r="D181" i="10" s="1"/>
  <c r="AH34" i="6" l="1"/>
  <c r="D183" i="10"/>
  <c r="D184" i="10" l="1"/>
  <c r="AH35" i="6"/>
  <c r="M144" i="10"/>
  <c r="O143" i="10"/>
  <c r="M143" i="10"/>
  <c r="O90" i="10"/>
  <c r="M90" i="10"/>
  <c r="M46" i="10"/>
  <c r="M91" i="10"/>
  <c r="M1" i="10"/>
  <c r="M2" i="10"/>
  <c r="O1" i="10"/>
  <c r="C174" i="10"/>
  <c r="C173" i="10"/>
  <c r="F173" i="10"/>
  <c r="C157" i="10"/>
  <c r="C156" i="10"/>
  <c r="C155" i="10"/>
  <c r="C154" i="10"/>
  <c r="C153" i="10"/>
  <c r="C152" i="10"/>
  <c r="C151" i="10"/>
  <c r="C150" i="10"/>
  <c r="C149" i="10"/>
  <c r="C148" i="10"/>
  <c r="G157" i="10"/>
  <c r="H157" i="10" s="1"/>
  <c r="I157" i="10" s="1"/>
  <c r="L157" i="10" s="1"/>
  <c r="G156" i="10"/>
  <c r="E156" i="10" s="1"/>
  <c r="FG11" i="6" s="1"/>
  <c r="G155" i="10"/>
  <c r="H155" i="10" s="1"/>
  <c r="I155" i="10" s="1"/>
  <c r="L155" i="10" s="1"/>
  <c r="G154" i="10"/>
  <c r="E154" i="10" s="1"/>
  <c r="FG9" i="6" s="1"/>
  <c r="G153" i="10"/>
  <c r="H153" i="10" s="1"/>
  <c r="I153" i="10" s="1"/>
  <c r="L153" i="10" s="1"/>
  <c r="G152" i="10"/>
  <c r="E152" i="10" s="1"/>
  <c r="G151" i="10"/>
  <c r="H151" i="10" s="1"/>
  <c r="I151" i="10" s="1"/>
  <c r="L151" i="10" s="1"/>
  <c r="G150" i="10"/>
  <c r="E150" i="10" s="1"/>
  <c r="FG5" i="6" s="1"/>
  <c r="G149" i="10"/>
  <c r="H149" i="10" s="1"/>
  <c r="I149" i="10" s="1"/>
  <c r="L149" i="10" s="1"/>
  <c r="G148" i="10"/>
  <c r="E148" i="10" s="1"/>
  <c r="FG3" i="6" s="1"/>
  <c r="F140" i="10"/>
  <c r="C140" i="10"/>
  <c r="DL12" i="6" s="1"/>
  <c r="F139" i="10"/>
  <c r="C139" i="10"/>
  <c r="DL11" i="6" s="1"/>
  <c r="F138" i="10"/>
  <c r="C138" i="10"/>
  <c r="DL10" i="6" s="1"/>
  <c r="F137" i="10"/>
  <c r="C137" i="10"/>
  <c r="DL9" i="6" s="1"/>
  <c r="F136" i="10"/>
  <c r="C136" i="10"/>
  <c r="DL8" i="6" s="1"/>
  <c r="F135" i="10"/>
  <c r="C135" i="10"/>
  <c r="DL7" i="6" s="1"/>
  <c r="F134" i="10"/>
  <c r="C134" i="10"/>
  <c r="DL6" i="6" s="1"/>
  <c r="F133" i="10"/>
  <c r="C133" i="10"/>
  <c r="DL5" i="6" s="1"/>
  <c r="F132" i="10"/>
  <c r="C132" i="10"/>
  <c r="DL4" i="6" s="1"/>
  <c r="F131" i="10"/>
  <c r="C131" i="10"/>
  <c r="DL3" i="6" s="1"/>
  <c r="E108" i="10"/>
  <c r="F108" i="10" s="1"/>
  <c r="G108" i="10" s="1"/>
  <c r="E113" i="10"/>
  <c r="E112" i="10"/>
  <c r="E111" i="10"/>
  <c r="E110" i="10"/>
  <c r="F110" i="10" s="1"/>
  <c r="E109" i="10"/>
  <c r="E107" i="10"/>
  <c r="E103" i="10"/>
  <c r="F103" i="10" s="1"/>
  <c r="G103" i="10" s="1"/>
  <c r="E101" i="10"/>
  <c r="F101" i="10" s="1"/>
  <c r="G101" i="10" s="1"/>
  <c r="E99" i="10"/>
  <c r="F99" i="10" s="1"/>
  <c r="G99" i="10" s="1"/>
  <c r="E102" i="10"/>
  <c r="F102" i="10" s="1"/>
  <c r="G102" i="10" s="1"/>
  <c r="E100" i="10"/>
  <c r="F100" i="10" s="1"/>
  <c r="G100" i="10" s="1"/>
  <c r="E98" i="10"/>
  <c r="E97" i="10"/>
  <c r="E96" i="10"/>
  <c r="E95" i="10"/>
  <c r="G87" i="10"/>
  <c r="H87" i="10" s="1"/>
  <c r="G86" i="10"/>
  <c r="H86" i="10" s="1"/>
  <c r="G85" i="10"/>
  <c r="H85" i="10" s="1"/>
  <c r="G84" i="10"/>
  <c r="H84" i="10" s="1"/>
  <c r="I69" i="10"/>
  <c r="J69" i="10" s="1"/>
  <c r="I68" i="10"/>
  <c r="J68" i="10" s="1"/>
  <c r="I67" i="10"/>
  <c r="J67" i="10" s="1"/>
  <c r="I66" i="10"/>
  <c r="J66" i="10" s="1"/>
  <c r="I65" i="10"/>
  <c r="J65" i="10" s="1"/>
  <c r="G83" i="10"/>
  <c r="H83" i="10" s="1"/>
  <c r="G82" i="10"/>
  <c r="H82" i="10" s="1"/>
  <c r="G81" i="10"/>
  <c r="H81" i="10" s="1"/>
  <c r="G69" i="10"/>
  <c r="H69" i="10" s="1"/>
  <c r="G68" i="10"/>
  <c r="H68" i="10" s="1"/>
  <c r="G67" i="10"/>
  <c r="H67" i="10" s="1"/>
  <c r="G66" i="10"/>
  <c r="H66" i="10" s="1"/>
  <c r="G65" i="10"/>
  <c r="H65" i="10" s="1"/>
  <c r="G41" i="10"/>
  <c r="G40" i="10"/>
  <c r="G39" i="10"/>
  <c r="G38" i="10"/>
  <c r="G37" i="10"/>
  <c r="G36" i="10"/>
  <c r="G35" i="10"/>
  <c r="G34" i="10"/>
  <c r="G33" i="10"/>
  <c r="G32" i="10"/>
  <c r="F41" i="10"/>
  <c r="F40" i="10"/>
  <c r="F39" i="10"/>
  <c r="F38" i="10"/>
  <c r="F37" i="10"/>
  <c r="F36" i="10"/>
  <c r="F35" i="10"/>
  <c r="F34" i="10"/>
  <c r="F33" i="10"/>
  <c r="F32" i="10"/>
  <c r="C41" i="10"/>
  <c r="DA12" i="6" s="1"/>
  <c r="CC11" i="6" s="1"/>
  <c r="C40" i="10"/>
  <c r="DA11" i="6" s="1"/>
  <c r="CC10" i="6" s="1"/>
  <c r="C39" i="10"/>
  <c r="DA10" i="6" s="1"/>
  <c r="CC9" i="6" s="1"/>
  <c r="C38" i="10"/>
  <c r="DA9" i="6" s="1"/>
  <c r="CC8" i="6" s="1"/>
  <c r="C37" i="10"/>
  <c r="DA8" i="6" s="1"/>
  <c r="CC7" i="6" s="1"/>
  <c r="C36" i="10"/>
  <c r="C35" i="10"/>
  <c r="DA6" i="6" s="1"/>
  <c r="CC5" i="6" s="1"/>
  <c r="C34" i="10"/>
  <c r="DA5" i="6" s="1"/>
  <c r="CC4" i="6" s="1"/>
  <c r="C33" i="10"/>
  <c r="DA4" i="6" s="1"/>
  <c r="CC3" i="6" s="1"/>
  <c r="C32" i="10"/>
  <c r="DA3" i="6" s="1"/>
  <c r="CC2" i="6" s="1"/>
  <c r="AA59" i="6" l="1"/>
  <c r="DA7" i="6"/>
  <c r="CC6" i="6" s="1"/>
  <c r="O229" i="10" s="1"/>
  <c r="O144" i="10"/>
  <c r="FG7" i="6"/>
  <c r="O91" i="10"/>
  <c r="O2" i="10"/>
  <c r="AH36" i="6"/>
  <c r="E149" i="10"/>
  <c r="FG4" i="6" s="1"/>
  <c r="E151" i="10"/>
  <c r="FG6" i="6" s="1"/>
  <c r="K149" i="10"/>
  <c r="K155" i="10"/>
  <c r="J155" i="10" s="1"/>
  <c r="M155" i="10" s="1"/>
  <c r="K151" i="10"/>
  <c r="J151" i="10" s="1"/>
  <c r="M151" i="10" s="1"/>
  <c r="K157" i="10"/>
  <c r="J157" i="10" s="1"/>
  <c r="M157" i="10" s="1"/>
  <c r="E153" i="10"/>
  <c r="FG8" i="6" s="1"/>
  <c r="E155" i="10"/>
  <c r="FG10" i="6" s="1"/>
  <c r="K153" i="10"/>
  <c r="J153" i="10" s="1"/>
  <c r="M153" i="10" s="1"/>
  <c r="E157" i="10"/>
  <c r="FG12" i="6" s="1"/>
  <c r="H154" i="10"/>
  <c r="H156" i="10"/>
  <c r="H150" i="10"/>
  <c r="H148" i="10"/>
  <c r="H152" i="10"/>
  <c r="G110" i="10"/>
  <c r="D68" i="10"/>
  <c r="E68" i="10" s="1"/>
  <c r="D67" i="10"/>
  <c r="E67" i="10" s="1"/>
  <c r="F112" i="10"/>
  <c r="G112" i="10" s="1"/>
  <c r="F107" i="10"/>
  <c r="G107" i="10" s="1"/>
  <c r="F111" i="10"/>
  <c r="G111" i="10" s="1"/>
  <c r="F109" i="10"/>
  <c r="G109" i="10" s="1"/>
  <c r="F113" i="10"/>
  <c r="G113" i="10" s="1"/>
  <c r="F96" i="10"/>
  <c r="G96" i="10" s="1"/>
  <c r="F98" i="10"/>
  <c r="G98" i="10" s="1"/>
  <c r="F95" i="10"/>
  <c r="G95" i="10" s="1"/>
  <c r="F97" i="10"/>
  <c r="G97" i="10" s="1"/>
  <c r="D65" i="10"/>
  <c r="E65" i="10" s="1"/>
  <c r="J82" i="10"/>
  <c r="EL4" i="6" s="1"/>
  <c r="E84" i="10"/>
  <c r="J83" i="10"/>
  <c r="EL5" i="6" s="1"/>
  <c r="J85" i="10"/>
  <c r="EL7" i="6" s="1"/>
  <c r="E86" i="10"/>
  <c r="E87" i="10"/>
  <c r="E85" i="10"/>
  <c r="J84" i="10"/>
  <c r="EL6" i="6" s="1"/>
  <c r="C87" i="10"/>
  <c r="J87" i="10"/>
  <c r="EL9" i="6" s="1"/>
  <c r="J86" i="10"/>
  <c r="EL8" i="6" s="1"/>
  <c r="C86" i="10"/>
  <c r="J81" i="10"/>
  <c r="EL3" i="6" s="1"/>
  <c r="E82" i="10"/>
  <c r="C82" i="10"/>
  <c r="C85" i="10"/>
  <c r="E83" i="10"/>
  <c r="C83" i="10"/>
  <c r="C81" i="10"/>
  <c r="E81" i="10"/>
  <c r="C84" i="10"/>
  <c r="D66" i="10"/>
  <c r="C69" i="10"/>
  <c r="EG7" i="6" s="1"/>
  <c r="DX6" i="6" s="1"/>
  <c r="D69" i="10"/>
  <c r="E69" i="10" s="1"/>
  <c r="C65" i="10"/>
  <c r="EG3" i="6" s="1"/>
  <c r="DX2" i="6" s="1"/>
  <c r="C67" i="10"/>
  <c r="EG5" i="6" s="1"/>
  <c r="DX4" i="6" s="1"/>
  <c r="C68" i="10"/>
  <c r="C66" i="10"/>
  <c r="EG4" i="6" s="1"/>
  <c r="DX3" i="6" s="1"/>
  <c r="D9" i="10"/>
  <c r="D11" i="10"/>
  <c r="D10" i="10"/>
  <c r="D8" i="10"/>
  <c r="D7" i="10"/>
  <c r="E11" i="10"/>
  <c r="E10" i="10"/>
  <c r="E9" i="10"/>
  <c r="E8" i="10"/>
  <c r="H11" i="10"/>
  <c r="H10" i="10"/>
  <c r="H9" i="10"/>
  <c r="H8" i="10"/>
  <c r="H7" i="10"/>
  <c r="E7" i="10"/>
  <c r="V61" i="6" l="1"/>
  <c r="S61" i="6"/>
  <c r="S69" i="6" s="1"/>
  <c r="P61" i="6"/>
  <c r="P69" i="6" s="1"/>
  <c r="O9" i="6"/>
  <c r="H222" i="10" s="1"/>
  <c r="H249" i="10"/>
  <c r="G233" i="10"/>
  <c r="J242" i="10"/>
  <c r="G232" i="10"/>
  <c r="H232" i="10" s="1"/>
  <c r="F249" i="10"/>
  <c r="H242" i="10"/>
  <c r="F248" i="10"/>
  <c r="F242" i="10"/>
  <c r="J241" i="10"/>
  <c r="H245" i="10"/>
  <c r="F245" i="10"/>
  <c r="F238" i="10"/>
  <c r="H238" i="10" s="1"/>
  <c r="G236" i="10"/>
  <c r="F229" i="10"/>
  <c r="K242" i="10"/>
  <c r="G249" i="10"/>
  <c r="I242" i="10"/>
  <c r="I247" i="10"/>
  <c r="G242" i="10"/>
  <c r="G247" i="10"/>
  <c r="H247" i="10"/>
  <c r="F247" i="10"/>
  <c r="G245" i="10"/>
  <c r="I241" i="10"/>
  <c r="H241" i="10"/>
  <c r="G241" i="10"/>
  <c r="F236" i="10"/>
  <c r="F232" i="10"/>
  <c r="F244" i="10"/>
  <c r="H243" i="10"/>
  <c r="F241" i="10"/>
  <c r="F243" i="10"/>
  <c r="H235" i="10"/>
  <c r="G243" i="10"/>
  <c r="G237" i="10"/>
  <c r="G225" i="10"/>
  <c r="I235" i="10"/>
  <c r="G229" i="10"/>
  <c r="H233" i="10"/>
  <c r="F231" i="10"/>
  <c r="G223" i="10"/>
  <c r="J229" i="10"/>
  <c r="H223" i="10"/>
  <c r="O226" i="10"/>
  <c r="G221" i="10"/>
  <c r="J230" i="10"/>
  <c r="G231" i="10"/>
  <c r="F235" i="10"/>
  <c r="F233" i="10"/>
  <c r="K230" i="10"/>
  <c r="H237" i="10"/>
  <c r="G230" i="10"/>
  <c r="H230" i="10"/>
  <c r="G235" i="10"/>
  <c r="H231" i="10"/>
  <c r="F237" i="10"/>
  <c r="I229" i="10"/>
  <c r="F230" i="10"/>
  <c r="H229" i="10"/>
  <c r="I230" i="10"/>
  <c r="H220" i="10"/>
  <c r="M61" i="6" s="1"/>
  <c r="G224" i="10"/>
  <c r="H224" i="10"/>
  <c r="G226" i="10"/>
  <c r="H226" i="10"/>
  <c r="G220" i="10"/>
  <c r="G222" i="10"/>
  <c r="G61" i="6"/>
  <c r="G10" i="6"/>
  <c r="J149" i="10"/>
  <c r="M149" i="10" s="1"/>
  <c r="EG6" i="6"/>
  <c r="DX5" i="6" s="1"/>
  <c r="N46" i="10"/>
  <c r="AH37" i="6"/>
  <c r="I156" i="10"/>
  <c r="L156" i="10" s="1"/>
  <c r="K156" i="10"/>
  <c r="I154" i="10"/>
  <c r="L154" i="10" s="1"/>
  <c r="K154" i="10"/>
  <c r="I152" i="10"/>
  <c r="L152" i="10" s="1"/>
  <c r="K152" i="10"/>
  <c r="I148" i="10"/>
  <c r="L148" i="10" s="1"/>
  <c r="K148" i="10"/>
  <c r="I150" i="10"/>
  <c r="L150" i="10" s="1"/>
  <c r="K150" i="10"/>
  <c r="D84" i="10"/>
  <c r="K84" i="10"/>
  <c r="M84" i="10"/>
  <c r="D82" i="10"/>
  <c r="K82" i="10"/>
  <c r="M82" i="10"/>
  <c r="D86" i="10"/>
  <c r="M86" i="10"/>
  <c r="K86" i="10"/>
  <c r="D87" i="10"/>
  <c r="M87" i="10"/>
  <c r="K87" i="10"/>
  <c r="D85" i="10"/>
  <c r="K85" i="10"/>
  <c r="M85" i="10"/>
  <c r="D81" i="10"/>
  <c r="K81" i="10"/>
  <c r="M81" i="10"/>
  <c r="D83" i="10"/>
  <c r="K83" i="10"/>
  <c r="M83" i="10"/>
  <c r="E66" i="10"/>
  <c r="F8" i="10"/>
  <c r="G8" i="10" s="1"/>
  <c r="I10" i="10"/>
  <c r="J10" i="10" s="1"/>
  <c r="F11" i="10"/>
  <c r="G11" i="10" s="1"/>
  <c r="I11" i="10"/>
  <c r="J11" i="10" s="1"/>
  <c r="I8" i="10"/>
  <c r="J8" i="10" s="1"/>
  <c r="F9" i="10"/>
  <c r="G9" i="10" s="1"/>
  <c r="F7" i="10"/>
  <c r="G7" i="10" s="1"/>
  <c r="I7" i="10"/>
  <c r="J7" i="10" s="1"/>
  <c r="F10" i="10"/>
  <c r="G10" i="10" s="1"/>
  <c r="I9" i="10"/>
  <c r="J9" i="10" s="1"/>
  <c r="V70" i="6" l="1"/>
  <c r="V69" i="6"/>
  <c r="P70" i="6"/>
  <c r="S60" i="6"/>
  <c r="S70" i="6"/>
  <c r="P60" i="6"/>
  <c r="V60" i="6"/>
  <c r="AG61" i="6"/>
  <c r="AV61" i="6"/>
  <c r="H236" i="10"/>
  <c r="M60" i="6"/>
  <c r="AP61" i="6"/>
  <c r="AS61" i="6"/>
  <c r="G238" i="10"/>
  <c r="S62" i="6"/>
  <c r="G62" i="6"/>
  <c r="P62" i="6"/>
  <c r="V62" i="6"/>
  <c r="M47" i="10"/>
  <c r="J152" i="10"/>
  <c r="M152" i="10" s="1"/>
  <c r="J148" i="10"/>
  <c r="M148" i="10" s="1"/>
  <c r="J156" i="10"/>
  <c r="M156" i="10" s="1"/>
  <c r="J150" i="10"/>
  <c r="M150" i="10" s="1"/>
  <c r="J154" i="10"/>
  <c r="M154" i="10" s="1"/>
  <c r="O84" i="10"/>
  <c r="N84" i="10"/>
  <c r="L84" i="10"/>
  <c r="N87" i="10"/>
  <c r="O87" i="10"/>
  <c r="L87" i="10"/>
  <c r="L83" i="10"/>
  <c r="O83" i="10"/>
  <c r="N83" i="10"/>
  <c r="N86" i="10"/>
  <c r="L86" i="10"/>
  <c r="O86" i="10"/>
  <c r="N85" i="10"/>
  <c r="L85" i="10"/>
  <c r="O85" i="10"/>
  <c r="L81" i="10"/>
  <c r="O81" i="10"/>
  <c r="N81" i="10"/>
  <c r="L82" i="10"/>
  <c r="O82" i="10"/>
  <c r="N82" i="10"/>
  <c r="AP25" i="6"/>
  <c r="AR25" i="6"/>
  <c r="O116" i="6" s="1"/>
  <c r="M200" i="4"/>
  <c r="N200" i="4"/>
  <c r="Q203" i="4"/>
  <c r="O200" i="4"/>
  <c r="Q201" i="4" s="1"/>
  <c r="V73" i="6" l="1"/>
  <c r="V75" i="6"/>
  <c r="P73" i="6"/>
  <c r="P75" i="6"/>
  <c r="S73" i="6"/>
  <c r="S75" i="6"/>
  <c r="G83" i="6"/>
  <c r="V72" i="6"/>
  <c r="V74" i="6"/>
  <c r="V71" i="6"/>
  <c r="P74" i="6"/>
  <c r="P71" i="6"/>
  <c r="P72" i="6"/>
  <c r="S74" i="6"/>
  <c r="S72" i="6"/>
  <c r="S71" i="6"/>
  <c r="V83" i="6"/>
  <c r="V80" i="6"/>
  <c r="P80" i="6"/>
  <c r="P83" i="6"/>
  <c r="S83" i="6"/>
  <c r="S80" i="6"/>
  <c r="G80" i="6"/>
  <c r="M62" i="6"/>
  <c r="AM61" i="6"/>
  <c r="Q202" i="4"/>
  <c r="Q200" i="4"/>
  <c r="Q204" i="4" s="1"/>
  <c r="A207" i="4"/>
  <c r="M68" i="6" l="1"/>
  <c r="M80" i="6"/>
  <c r="M83" i="6"/>
  <c r="R204" i="4"/>
  <c r="S204" i="4" s="1"/>
  <c r="Q206" i="4"/>
  <c r="A208" i="4"/>
  <c r="A209" i="4" s="1"/>
  <c r="A210" i="4" s="1"/>
  <c r="A211" i="4" s="1"/>
  <c r="A212" i="4" s="1"/>
  <c r="A157" i="4"/>
  <c r="A214" i="4" l="1"/>
  <c r="A215" i="4" s="1"/>
  <c r="A216" i="4" s="1"/>
  <c r="A217" i="4" s="1"/>
  <c r="O54" i="6"/>
  <c r="A218" i="4" l="1"/>
  <c r="A219" i="4" s="1"/>
  <c r="A220" i="4" s="1"/>
  <c r="A223" i="4" s="1"/>
  <c r="A228" i="4" s="1"/>
  <c r="A229" i="4" s="1"/>
  <c r="O99" i="6"/>
  <c r="O103" i="6"/>
  <c r="O106" i="6" l="1"/>
  <c r="A231" i="4"/>
  <c r="A232" i="4" s="1"/>
  <c r="A235" i="4" s="1"/>
  <c r="O94" i="6"/>
  <c r="O95" i="6" s="1"/>
  <c r="A177" i="4" l="1"/>
  <c r="A178" i="4" s="1"/>
  <c r="A166" i="4"/>
  <c r="A167" i="4" s="1"/>
  <c r="A168" i="4" s="1"/>
  <c r="A169" i="4" s="1"/>
  <c r="A170" i="4" s="1"/>
  <c r="A171" i="4" s="1"/>
  <c r="A172" i="4" s="1"/>
  <c r="A173" i="4" s="1"/>
  <c r="A150" i="4"/>
  <c r="A151" i="4" s="1"/>
  <c r="A141" i="4"/>
  <c r="A142" i="4" s="1"/>
  <c r="A143" i="4" s="1"/>
  <c r="A144" i="4" s="1"/>
  <c r="A145" i="4" s="1"/>
  <c r="A146" i="4" s="1"/>
  <c r="A182" i="4"/>
  <c r="A183" i="4" s="1"/>
  <c r="A158" i="4"/>
  <c r="A159" i="4" s="1"/>
  <c r="A160" i="4" s="1"/>
  <c r="A161" i="4" s="1"/>
  <c r="BR31" i="6" l="1"/>
  <c r="BR34" i="6"/>
  <c r="BR28" i="6"/>
  <c r="BR27" i="6"/>
  <c r="BR26" i="6"/>
  <c r="BR20" i="6"/>
  <c r="BR19" i="6"/>
  <c r="BR18" i="6"/>
  <c r="BR17" i="6"/>
  <c r="BR15" i="6"/>
  <c r="I104" i="4"/>
  <c r="I105" i="4" s="1"/>
  <c r="I106" i="4" s="1"/>
  <c r="I107" i="4" s="1"/>
  <c r="I108" i="4" s="1"/>
  <c r="I109" i="4" s="1"/>
  <c r="I110" i="4" s="1"/>
  <c r="I111" i="4" s="1"/>
  <c r="I112" i="4" s="1"/>
  <c r="I113" i="4" s="1"/>
  <c r="I114" i="4" s="1"/>
  <c r="I115" i="4" s="1"/>
  <c r="I116" i="4" s="1"/>
  <c r="I117" i="4" s="1"/>
  <c r="I118" i="4" s="1"/>
  <c r="I119" i="4" s="1"/>
  <c r="I120" i="4" s="1"/>
  <c r="I121" i="4" s="1"/>
  <c r="I122" i="4" s="1"/>
  <c r="I123" i="4" s="1"/>
  <c r="I124" i="4" s="1"/>
  <c r="I125" i="4" s="1"/>
  <c r="I126" i="4" s="1"/>
  <c r="I127" i="4" s="1"/>
  <c r="I128" i="4" s="1"/>
  <c r="I129" i="4" s="1"/>
  <c r="I130" i="4" s="1"/>
  <c r="I131" i="4" s="1"/>
  <c r="I132" i="4" s="1"/>
  <c r="I133" i="4" s="1"/>
  <c r="E119" i="4"/>
  <c r="F118" i="4"/>
  <c r="F119" i="4" s="1"/>
  <c r="E117" i="4"/>
  <c r="F116" i="4"/>
  <c r="F117" i="4" s="1"/>
  <c r="E115" i="4"/>
  <c r="G7" i="2"/>
  <c r="G90" i="6"/>
  <c r="G78" i="6"/>
  <c r="BP20" i="6" l="1"/>
  <c r="BP27" i="6"/>
  <c r="BP18" i="6"/>
  <c r="BP19" i="6"/>
  <c r="F115" i="4"/>
  <c r="BP28" i="6"/>
  <c r="R38" i="6"/>
  <c r="X47" i="6"/>
  <c r="A104" i="4" l="1"/>
  <c r="A105" i="4" s="1"/>
  <c r="A106" i="4" s="1"/>
  <c r="A107" i="4" s="1"/>
  <c r="K18" i="6"/>
  <c r="BG3" i="6"/>
  <c r="BG4" i="6" s="1"/>
  <c r="BG5" i="6" s="1"/>
  <c r="BG6" i="6" s="1"/>
  <c r="BG7" i="6" s="1"/>
  <c r="BG8" i="6" s="1"/>
  <c r="BG9" i="6" s="1"/>
  <c r="BG10" i="6" s="1"/>
  <c r="F21" i="6"/>
  <c r="T92" i="4"/>
  <c r="T91" i="4"/>
  <c r="T90" i="4"/>
  <c r="T89" i="4"/>
  <c r="P92" i="4"/>
  <c r="P91" i="4"/>
  <c r="P90" i="4"/>
  <c r="P89" i="4"/>
  <c r="D92" i="4"/>
  <c r="D91" i="4"/>
  <c r="D90" i="4"/>
  <c r="Y88" i="4"/>
  <c r="Z88" i="4" s="1"/>
  <c r="AA88" i="4" s="1"/>
  <c r="AB88" i="4" s="1"/>
  <c r="U88" i="4"/>
  <c r="Q88" i="4"/>
  <c r="R88" i="4" s="1"/>
  <c r="M88" i="4"/>
  <c r="N88" i="4" s="1"/>
  <c r="A89" i="4"/>
  <c r="E89" i="4" s="1"/>
  <c r="E88" i="4" s="1"/>
  <c r="F88" i="4" s="1"/>
  <c r="G88" i="4" s="1"/>
  <c r="H88" i="4" s="1"/>
  <c r="B88" i="4"/>
  <c r="C88" i="4" s="1"/>
  <c r="D88" i="4" s="1"/>
  <c r="E98" i="4"/>
  <c r="H90" i="4" s="1"/>
  <c r="E97" i="4"/>
  <c r="H89" i="4" s="1"/>
  <c r="E96" i="4"/>
  <c r="E95" i="4"/>
  <c r="H92" i="4" s="1"/>
  <c r="E94" i="4"/>
  <c r="H91" i="4" s="1"/>
  <c r="E93" i="4"/>
  <c r="E92" i="4"/>
  <c r="E91" i="4"/>
  <c r="E90" i="4"/>
  <c r="F15" i="6"/>
  <c r="D15" i="6"/>
  <c r="BC8" i="6"/>
  <c r="BW3" i="6"/>
  <c r="BR3" i="6"/>
  <c r="BR2" i="6"/>
  <c r="BR36" i="6"/>
  <c r="BR35" i="6"/>
  <c r="BP35" i="6" s="1"/>
  <c r="BR33" i="6"/>
  <c r="BR32" i="6"/>
  <c r="BP32" i="6" s="1"/>
  <c r="BR30" i="6"/>
  <c r="BR29" i="6"/>
  <c r="BR25" i="6"/>
  <c r="BR24" i="6"/>
  <c r="BR23" i="6"/>
  <c r="BR22" i="6"/>
  <c r="BR21" i="6"/>
  <c r="BR16" i="6"/>
  <c r="BR14" i="6"/>
  <c r="BR13" i="6"/>
  <c r="BR12" i="6"/>
  <c r="BR11" i="6"/>
  <c r="BR10" i="6"/>
  <c r="BR9" i="6"/>
  <c r="BP9" i="6" s="1"/>
  <c r="BR7" i="6"/>
  <c r="BR6" i="6"/>
  <c r="BR5" i="6"/>
  <c r="BP5" i="6" s="1"/>
  <c r="BQ3" i="6"/>
  <c r="AX3" i="6"/>
  <c r="BK3" i="6"/>
  <c r="BB3" i="6"/>
  <c r="BB4" i="6" s="1"/>
  <c r="BB5" i="6" s="1"/>
  <c r="BB6" i="6" s="1"/>
  <c r="CB3" i="6"/>
  <c r="CB4" i="6" s="1"/>
  <c r="CB5" i="6" s="1"/>
  <c r="CB6" i="6" s="1"/>
  <c r="CB7" i="6" s="1"/>
  <c r="AS3" i="6"/>
  <c r="AL3" i="6"/>
  <c r="AL4" i="6" s="1"/>
  <c r="AL5" i="6" s="1"/>
  <c r="AC16" i="6" l="1"/>
  <c r="AB16" i="6"/>
  <c r="Q16" i="6"/>
  <c r="AA16" i="6"/>
  <c r="CB8" i="6"/>
  <c r="CB9" i="6" s="1"/>
  <c r="CB10" i="6" s="1"/>
  <c r="CB11" i="6" s="1"/>
  <c r="CB12" i="6" s="1"/>
  <c r="E10" i="6"/>
  <c r="O88" i="4"/>
  <c r="P88" i="4" s="1"/>
  <c r="V88" i="4"/>
  <c r="W88" i="4" s="1"/>
  <c r="I88" i="4"/>
  <c r="J88" i="4" s="1"/>
  <c r="K88" i="4" s="1"/>
  <c r="L88" i="4" s="1"/>
  <c r="AC19" i="6"/>
  <c r="K17" i="6" s="1"/>
  <c r="AC18" i="6"/>
  <c r="AC17" i="6"/>
  <c r="J15" i="6"/>
  <c r="Q24" i="6"/>
  <c r="AR11" i="6"/>
  <c r="J54" i="6"/>
  <c r="O96" i="6" s="1"/>
  <c r="O107" i="6" s="1"/>
  <c r="BP11" i="6"/>
  <c r="BP30" i="6"/>
  <c r="BP31" i="6"/>
  <c r="BP33" i="6"/>
  <c r="BP34" i="6"/>
  <c r="BP36" i="6"/>
  <c r="BP16" i="6"/>
  <c r="BP17" i="6"/>
  <c r="BP23" i="6"/>
  <c r="BP24" i="6"/>
  <c r="BP8" i="6"/>
  <c r="BP7" i="6"/>
  <c r="BP10" i="6"/>
  <c r="BQ4" i="6"/>
  <c r="BQ5" i="6" s="1"/>
  <c r="BQ6" i="6" s="1"/>
  <c r="BQ7" i="6" s="1"/>
  <c r="BQ8" i="6" s="1"/>
  <c r="BQ9" i="6" s="1"/>
  <c r="BQ10" i="6" s="1"/>
  <c r="BQ11" i="6" s="1"/>
  <c r="BQ12" i="6" s="1"/>
  <c r="BQ13" i="6" s="1"/>
  <c r="BQ14" i="6" s="1"/>
  <c r="BQ15" i="6" s="1"/>
  <c r="BQ16" i="6" s="1"/>
  <c r="BQ17" i="6" s="1"/>
  <c r="BQ18" i="6" s="1"/>
  <c r="BP6" i="6"/>
  <c r="BP14" i="6"/>
  <c r="BP15" i="6"/>
  <c r="BP25" i="6"/>
  <c r="BP26" i="6"/>
  <c r="BP22" i="6"/>
  <c r="BP21" i="6"/>
  <c r="BP4" i="6"/>
  <c r="BP3" i="6"/>
  <c r="BP29" i="6"/>
  <c r="BP12" i="6"/>
  <c r="BP13" i="6"/>
  <c r="AN11" i="6"/>
  <c r="A108" i="4"/>
  <c r="A109" i="4" s="1"/>
  <c r="A110" i="4" s="1"/>
  <c r="A111" i="4" s="1"/>
  <c r="AZ11" i="6"/>
  <c r="D12" i="6" s="1"/>
  <c r="M17" i="6"/>
  <c r="AL41" i="6" s="1"/>
  <c r="S88" i="4"/>
  <c r="T88" i="4" s="1"/>
  <c r="L15" i="6"/>
  <c r="N15" i="6"/>
  <c r="H15" i="6"/>
  <c r="D84" i="4"/>
  <c r="D83" i="4"/>
  <c r="D82" i="4"/>
  <c r="D81" i="4"/>
  <c r="D80" i="4"/>
  <c r="F80" i="4" s="1"/>
  <c r="G80" i="4" s="1"/>
  <c r="D79" i="4"/>
  <c r="F79" i="4" s="1"/>
  <c r="D78" i="4"/>
  <c r="F78" i="4" s="1"/>
  <c r="A78" i="4" s="1"/>
  <c r="J9" i="6" l="1"/>
  <c r="AN10" i="6"/>
  <c r="AQ10" i="6" s="1"/>
  <c r="V24" i="6"/>
  <c r="B80" i="4"/>
  <c r="M80" i="4"/>
  <c r="O110" i="6"/>
  <c r="O111" i="6" s="1"/>
  <c r="O108" i="6"/>
  <c r="O109" i="6" s="1"/>
  <c r="BQ19" i="6"/>
  <c r="BQ20" i="6" s="1"/>
  <c r="BQ21" i="6" s="1"/>
  <c r="BQ22" i="6" s="1"/>
  <c r="BQ23" i="6" s="1"/>
  <c r="BQ24" i="6" s="1"/>
  <c r="BQ25" i="6" s="1"/>
  <c r="AA24" i="6"/>
  <c r="AB24" i="6"/>
  <c r="AB25" i="6"/>
  <c r="Q23" i="6"/>
  <c r="V23" i="6" s="1"/>
  <c r="AK41" i="6"/>
  <c r="Q22" i="6"/>
  <c r="V22" i="6" s="1"/>
  <c r="Q19" i="6"/>
  <c r="V19" i="6" s="1"/>
  <c r="I17" i="6"/>
  <c r="AJ41" i="6" s="1"/>
  <c r="G17" i="6"/>
  <c r="AI41" i="6" s="1"/>
  <c r="AB18" i="6"/>
  <c r="AA25" i="6"/>
  <c r="F84" i="4"/>
  <c r="A84" i="4" s="1"/>
  <c r="AA20" i="6"/>
  <c r="X88" i="4"/>
  <c r="Q20" i="6"/>
  <c r="V20" i="6" s="1"/>
  <c r="AA23" i="6"/>
  <c r="Q18" i="6"/>
  <c r="V18" i="6" s="1"/>
  <c r="Q25" i="6"/>
  <c r="F83" i="4"/>
  <c r="Q17" i="6"/>
  <c r="V17" i="6" s="1"/>
  <c r="Q21" i="6"/>
  <c r="V21" i="6" s="1"/>
  <c r="AA21" i="6"/>
  <c r="AB21" i="6"/>
  <c r="AA17" i="6"/>
  <c r="AA18" i="6"/>
  <c r="AB19" i="6"/>
  <c r="AA19" i="6"/>
  <c r="AB20" i="6"/>
  <c r="AB23" i="6"/>
  <c r="AB22" i="6"/>
  <c r="AB17" i="6"/>
  <c r="AA22" i="6"/>
  <c r="F81" i="4"/>
  <c r="G81" i="4" s="1"/>
  <c r="F82" i="4"/>
  <c r="A79" i="4"/>
  <c r="G79" i="4"/>
  <c r="A80" i="4"/>
  <c r="G78" i="4"/>
  <c r="G63" i="6" l="1"/>
  <c r="BR38" i="6"/>
  <c r="J24" i="6" s="1"/>
  <c r="AP13" i="6"/>
  <c r="AP14" i="6" s="1"/>
  <c r="AP15" i="6" s="1"/>
  <c r="AI40" i="6" s="1"/>
  <c r="AR13" i="6"/>
  <c r="AR14" i="6" s="1"/>
  <c r="AR15" i="6" s="1"/>
  <c r="AJ40" i="6" s="1"/>
  <c r="AT13" i="6"/>
  <c r="AT14" i="6" s="1"/>
  <c r="AT15" i="6" s="1"/>
  <c r="AK40" i="6" s="1"/>
  <c r="AV10" i="6"/>
  <c r="AV13" i="6"/>
  <c r="AV14" i="6" s="1"/>
  <c r="AV15" i="6" s="1"/>
  <c r="AL40" i="6" s="1"/>
  <c r="AN13" i="6"/>
  <c r="AN14" i="6" s="1"/>
  <c r="S24" i="6"/>
  <c r="V25" i="6"/>
  <c r="S25" i="6"/>
  <c r="BU38" i="6"/>
  <c r="B79" i="4"/>
  <c r="M79" i="4"/>
  <c r="J80" i="4"/>
  <c r="L80" i="4"/>
  <c r="B81" i="4"/>
  <c r="M81" i="4"/>
  <c r="B78" i="4"/>
  <c r="M78" i="4"/>
  <c r="BS38" i="6"/>
  <c r="BT38" i="6"/>
  <c r="BQ26" i="6"/>
  <c r="BQ27" i="6" s="1"/>
  <c r="BQ28" i="6" s="1"/>
  <c r="BQ29" i="6" s="1"/>
  <c r="BQ30" i="6" s="1"/>
  <c r="BQ31" i="6" s="1"/>
  <c r="BQ32" i="6" s="1"/>
  <c r="BQ33" i="6" s="1"/>
  <c r="BQ34" i="6" s="1"/>
  <c r="BQ35" i="6" s="1"/>
  <c r="BQ36" i="6" s="1"/>
  <c r="S16" i="6"/>
  <c r="AC20" i="6"/>
  <c r="E17" i="6"/>
  <c r="AH41" i="6" s="1"/>
  <c r="S18" i="6"/>
  <c r="G84" i="4"/>
  <c r="S23" i="6"/>
  <c r="S20" i="6"/>
  <c r="S17" i="6"/>
  <c r="S19" i="6"/>
  <c r="S21" i="6"/>
  <c r="S22" i="6"/>
  <c r="A81" i="4"/>
  <c r="G83" i="4"/>
  <c r="A83" i="4"/>
  <c r="G82" i="4"/>
  <c r="A82" i="4"/>
  <c r="G64" i="6" l="1"/>
  <c r="G65" i="6"/>
  <c r="J61" i="6"/>
  <c r="B49" i="6"/>
  <c r="I49" i="6"/>
  <c r="AA28" i="6"/>
  <c r="V16" i="6"/>
  <c r="AN15" i="6"/>
  <c r="BV38" i="6"/>
  <c r="AY42" i="2" s="1"/>
  <c r="B83" i="4"/>
  <c r="M83" i="4"/>
  <c r="L78" i="4"/>
  <c r="J78" i="4"/>
  <c r="B82" i="4"/>
  <c r="M82" i="4"/>
  <c r="L81" i="4"/>
  <c r="J81" i="4"/>
  <c r="J79" i="4"/>
  <c r="L79" i="4"/>
  <c r="K80" i="4"/>
  <c r="I80" i="4"/>
  <c r="B84" i="4"/>
  <c r="M84" i="4"/>
  <c r="K13" i="6"/>
  <c r="E18" i="6"/>
  <c r="Q40" i="5"/>
  <c r="Q39" i="5"/>
  <c r="Q38" i="5"/>
  <c r="Q37" i="5"/>
  <c r="Q36" i="5"/>
  <c r="Q35" i="5"/>
  <c r="Q34" i="5"/>
  <c r="Q33" i="5"/>
  <c r="Q32" i="5"/>
  <c r="Q31" i="5"/>
  <c r="Q30" i="5"/>
  <c r="Q29" i="5"/>
  <c r="Q28" i="5"/>
  <c r="Q27" i="5"/>
  <c r="Q26" i="5"/>
  <c r="Q25" i="5"/>
  <c r="Q24" i="5"/>
  <c r="Q23" i="5"/>
  <c r="P40" i="5"/>
  <c r="P39" i="5"/>
  <c r="P38" i="5"/>
  <c r="P37" i="5"/>
  <c r="P36" i="5"/>
  <c r="P35" i="5"/>
  <c r="P34" i="5"/>
  <c r="P33" i="5"/>
  <c r="P32" i="5"/>
  <c r="P31" i="5"/>
  <c r="P30" i="5"/>
  <c r="P29" i="5"/>
  <c r="P28" i="5"/>
  <c r="P27" i="5"/>
  <c r="P26" i="5"/>
  <c r="P25" i="5"/>
  <c r="P24" i="5"/>
  <c r="P23" i="5"/>
  <c r="O124" i="6" l="1"/>
  <c r="J60" i="6"/>
  <c r="AJ61" i="6"/>
  <c r="J62" i="6"/>
  <c r="J82" i="4"/>
  <c r="L82" i="4"/>
  <c r="K81" i="4"/>
  <c r="I81" i="4"/>
  <c r="L84" i="4"/>
  <c r="J84" i="4"/>
  <c r="J83" i="4"/>
  <c r="L83" i="4"/>
  <c r="K79" i="4"/>
  <c r="I79" i="4"/>
  <c r="K78" i="4"/>
  <c r="N44" i="5"/>
  <c r="O44" i="5" s="1"/>
  <c r="N43" i="5"/>
  <c r="O43" i="5" s="1"/>
  <c r="N42" i="5"/>
  <c r="O42" i="5" s="1"/>
  <c r="N41" i="5"/>
  <c r="O41" i="5" s="1"/>
  <c r="N40" i="5"/>
  <c r="O40" i="5" s="1"/>
  <c r="N39" i="5"/>
  <c r="O39" i="5" s="1"/>
  <c r="N38" i="5"/>
  <c r="O38" i="5" s="1"/>
  <c r="N37" i="5"/>
  <c r="O37" i="5" s="1"/>
  <c r="N36" i="5"/>
  <c r="O36" i="5" s="1"/>
  <c r="N35" i="5"/>
  <c r="O35" i="5" s="1"/>
  <c r="N34" i="5"/>
  <c r="O34" i="5" s="1"/>
  <c r="N33" i="5"/>
  <c r="O33" i="5" s="1"/>
  <c r="N32" i="5"/>
  <c r="O32" i="5" s="1"/>
  <c r="O31" i="5"/>
  <c r="N31" i="5"/>
  <c r="N30" i="5"/>
  <c r="O30" i="5" s="1"/>
  <c r="N29" i="5"/>
  <c r="O29" i="5" s="1"/>
  <c r="N28" i="5"/>
  <c r="O28" i="5" s="1"/>
  <c r="N27" i="5"/>
  <c r="O27" i="5" s="1"/>
  <c r="N26" i="5"/>
  <c r="O26" i="5" s="1"/>
  <c r="N25" i="5"/>
  <c r="O25" i="5" s="1"/>
  <c r="N24" i="5"/>
  <c r="O24" i="5" s="1"/>
  <c r="N23" i="5"/>
  <c r="O23" i="5" s="1"/>
  <c r="N22" i="5"/>
  <c r="O22" i="5" s="1"/>
  <c r="N21" i="5"/>
  <c r="O21" i="5" s="1"/>
  <c r="N20" i="5"/>
  <c r="O20" i="5" s="1"/>
  <c r="N19" i="5"/>
  <c r="O19" i="5" s="1"/>
  <c r="N18" i="5"/>
  <c r="O18" i="5" s="1"/>
  <c r="N17" i="5"/>
  <c r="O17" i="5" s="1"/>
  <c r="N16" i="5"/>
  <c r="O16" i="5" s="1"/>
  <c r="N15" i="5"/>
  <c r="O15" i="5" s="1"/>
  <c r="N14" i="5"/>
  <c r="O14" i="5" s="1"/>
  <c r="N13" i="5"/>
  <c r="O13" i="5" s="1"/>
  <c r="N12" i="5"/>
  <c r="O12" i="5" s="1"/>
  <c r="N11" i="5"/>
  <c r="O11" i="5" s="1"/>
  <c r="N10" i="5"/>
  <c r="O10" i="5" s="1"/>
  <c r="N9" i="5"/>
  <c r="O9" i="5" s="1"/>
  <c r="N8" i="5"/>
  <c r="O8" i="5" s="1"/>
  <c r="N7" i="5"/>
  <c r="O7" i="5" s="1"/>
  <c r="N6" i="5"/>
  <c r="O6" i="5" s="1"/>
  <c r="N5" i="5"/>
  <c r="O5" i="5" s="1"/>
  <c r="J83" i="6" l="1"/>
  <c r="J80" i="6"/>
  <c r="K83" i="4"/>
  <c r="I83" i="4"/>
  <c r="K84" i="4"/>
  <c r="I84" i="4"/>
  <c r="K82" i="4"/>
  <c r="I82" i="4"/>
  <c r="G7" i="4"/>
  <c r="G6" i="4"/>
  <c r="E7" i="4"/>
  <c r="E6" i="4"/>
  <c r="E8" i="4"/>
  <c r="A9" i="4"/>
  <c r="A8" i="4"/>
  <c r="A7" i="4"/>
  <c r="A6" i="4"/>
  <c r="F64" i="4"/>
  <c r="F62" i="4"/>
  <c r="G61" i="4"/>
  <c r="G60" i="4"/>
  <c r="J74" i="4"/>
  <c r="J73" i="4"/>
  <c r="J72" i="4"/>
  <c r="J71" i="4"/>
  <c r="J70" i="4"/>
  <c r="D74" i="4"/>
  <c r="K74" i="4" s="1"/>
  <c r="D73" i="4"/>
  <c r="F73" i="4" s="1"/>
  <c r="A73" i="4" s="1"/>
  <c r="D72" i="4"/>
  <c r="K72" i="4" s="1"/>
  <c r="D71" i="4"/>
  <c r="K71" i="4" s="1"/>
  <c r="D70" i="4"/>
  <c r="K70" i="4" s="1"/>
  <c r="F55" i="4"/>
  <c r="G55" i="4" s="1"/>
  <c r="B55" i="4" s="1"/>
  <c r="F54" i="4"/>
  <c r="G54" i="4" s="1"/>
  <c r="B54" i="4" s="1"/>
  <c r="F53" i="4"/>
  <c r="G53" i="4" s="1"/>
  <c r="B53" i="4" s="1"/>
  <c r="F49" i="4"/>
  <c r="G49" i="4" s="1"/>
  <c r="B49" i="4" s="1"/>
  <c r="F48" i="4"/>
  <c r="G48" i="4" s="1"/>
  <c r="B48" i="4" s="1"/>
  <c r="F47" i="4"/>
  <c r="G47" i="4" s="1"/>
  <c r="B47" i="4" s="1"/>
  <c r="F46" i="4"/>
  <c r="G46" i="4" s="1"/>
  <c r="B46" i="4" s="1"/>
  <c r="J42" i="4"/>
  <c r="I42" i="4"/>
  <c r="F42" i="4"/>
  <c r="G42" i="4" s="1"/>
  <c r="B42" i="4" s="1"/>
  <c r="J41" i="4"/>
  <c r="I41" i="4"/>
  <c r="F41" i="4"/>
  <c r="J40" i="4"/>
  <c r="I40" i="4"/>
  <c r="F40" i="4"/>
  <c r="J36" i="4"/>
  <c r="I36" i="4"/>
  <c r="F36" i="4"/>
  <c r="J35" i="4"/>
  <c r="I35" i="4"/>
  <c r="F35" i="4"/>
  <c r="J34" i="4"/>
  <c r="I34" i="4"/>
  <c r="F34" i="4"/>
  <c r="J33" i="4"/>
  <c r="I33" i="4"/>
  <c r="F33" i="4"/>
  <c r="J32" i="4"/>
  <c r="I32" i="4"/>
  <c r="F32" i="4"/>
  <c r="J31" i="4"/>
  <c r="I31" i="4"/>
  <c r="F31" i="4"/>
  <c r="J26" i="4"/>
  <c r="I26" i="4"/>
  <c r="J25" i="4"/>
  <c r="I25" i="4"/>
  <c r="J24" i="4"/>
  <c r="I24" i="4"/>
  <c r="J23" i="4"/>
  <c r="I23" i="4"/>
  <c r="I19" i="4"/>
  <c r="I18" i="4"/>
  <c r="I17" i="4"/>
  <c r="I16" i="4"/>
  <c r="I15" i="4"/>
  <c r="I14" i="4"/>
  <c r="J19" i="4"/>
  <c r="J18" i="4"/>
  <c r="J17" i="4"/>
  <c r="J16" i="4"/>
  <c r="J15" i="4"/>
  <c r="J14" i="4"/>
  <c r="F26" i="4"/>
  <c r="G26" i="4" s="1"/>
  <c r="B26" i="4" s="1"/>
  <c r="A26" i="4" s="1"/>
  <c r="F25" i="4"/>
  <c r="G25" i="4" s="1"/>
  <c r="B25" i="4" s="1"/>
  <c r="A25" i="4" s="1"/>
  <c r="F24" i="4"/>
  <c r="F23" i="4"/>
  <c r="F19" i="4"/>
  <c r="F18" i="4"/>
  <c r="G18" i="4" s="1"/>
  <c r="B18" i="4" s="1"/>
  <c r="A18" i="4" s="1"/>
  <c r="F17" i="4"/>
  <c r="G17" i="4" s="1"/>
  <c r="B17" i="4" s="1"/>
  <c r="A17" i="4" s="1"/>
  <c r="F16" i="4"/>
  <c r="G16" i="4" s="1"/>
  <c r="B16" i="4" s="1"/>
  <c r="A16" i="4" s="1"/>
  <c r="F15" i="4"/>
  <c r="F14" i="4"/>
  <c r="I33" i="2"/>
  <c r="K50" i="2"/>
  <c r="F48" i="2"/>
  <c r="F35" i="2"/>
  <c r="M13" i="2"/>
  <c r="AN7" i="2"/>
  <c r="AE7" i="2"/>
  <c r="AI4" i="2"/>
  <c r="V7" i="2"/>
  <c r="K56" i="2"/>
  <c r="G28" i="2"/>
  <c r="AD13" i="2"/>
  <c r="S13" i="2"/>
  <c r="AD12" i="2"/>
  <c r="AD11" i="2"/>
  <c r="AJ9" i="2"/>
  <c r="AL9" i="2" s="1"/>
  <c r="AN9" i="2" s="1"/>
  <c r="AP9" i="2" s="1"/>
  <c r="AR9" i="2" s="1"/>
  <c r="K31" i="4" l="1"/>
  <c r="K35" i="4"/>
  <c r="K42" i="4"/>
  <c r="K15" i="4"/>
  <c r="K24" i="4"/>
  <c r="K26" i="4"/>
  <c r="K34" i="4"/>
  <c r="K41" i="4"/>
  <c r="K19" i="4"/>
  <c r="K17" i="4"/>
  <c r="K23" i="4"/>
  <c r="K32" i="4"/>
  <c r="K36" i="4"/>
  <c r="L71" i="4"/>
  <c r="L72" i="4"/>
  <c r="K18" i="4"/>
  <c r="K73" i="4"/>
  <c r="L73" i="4" s="1"/>
  <c r="L74" i="4"/>
  <c r="K25" i="4"/>
  <c r="K33" i="4"/>
  <c r="K40" i="4"/>
  <c r="K14" i="4"/>
  <c r="K16" i="4"/>
  <c r="L70" i="4"/>
  <c r="F71" i="4"/>
  <c r="A71" i="4" s="1"/>
  <c r="F74" i="4"/>
  <c r="A74" i="4" s="1"/>
  <c r="F72" i="4"/>
  <c r="A72" i="4" s="1"/>
  <c r="F70" i="4"/>
  <c r="A70" i="4" s="1"/>
  <c r="G19" i="4"/>
  <c r="B19" i="4" s="1"/>
  <c r="A19" i="4" s="1"/>
  <c r="G33" i="4"/>
  <c r="B33" i="4" s="1"/>
  <c r="G23" i="4"/>
  <c r="B23" i="4" s="1"/>
  <c r="A23" i="4" s="1"/>
  <c r="G40" i="4"/>
  <c r="B40" i="4" s="1"/>
  <c r="G31" i="4"/>
  <c r="B31" i="4" s="1"/>
  <c r="G73" i="4"/>
  <c r="B73" i="4" s="1"/>
  <c r="I73" i="4" s="1"/>
  <c r="G24" i="4"/>
  <c r="B24" i="4" s="1"/>
  <c r="A24" i="4" s="1"/>
  <c r="G35" i="4"/>
  <c r="B35" i="4" s="1"/>
  <c r="G41" i="4"/>
  <c r="B41" i="4" s="1"/>
  <c r="G14" i="4"/>
  <c r="B14" i="4" s="1"/>
  <c r="A14" i="4" s="1"/>
  <c r="G15" i="4"/>
  <c r="B15" i="4" s="1"/>
  <c r="A15" i="4" s="1"/>
  <c r="G32" i="4"/>
  <c r="B32" i="4" s="1"/>
  <c r="G34" i="4"/>
  <c r="B34" i="4" s="1"/>
  <c r="G36" i="4"/>
  <c r="B36" i="4" s="1"/>
  <c r="F65" i="4" l="1"/>
  <c r="F66" i="4"/>
  <c r="G74" i="4"/>
  <c r="B74" i="4" s="1"/>
  <c r="I74" i="4" s="1"/>
  <c r="G72" i="4"/>
  <c r="B72" i="4" s="1"/>
  <c r="I72" i="4" s="1"/>
  <c r="G71" i="4"/>
  <c r="B71" i="4" s="1"/>
  <c r="I71" i="4" s="1"/>
  <c r="G70" i="4"/>
  <c r="B70" i="4" s="1"/>
  <c r="I70" i="4" s="1"/>
  <c r="I78" i="4" l="1"/>
  <c r="AN16" i="6"/>
  <c r="AH40" i="6"/>
  <c r="AV16" i="6" l="1"/>
  <c r="B55" i="6" s="1"/>
  <c r="S28" i="6"/>
  <c r="O114" i="6"/>
  <c r="O115" i="6" s="1"/>
  <c r="Q29" i="6"/>
  <c r="AI28" i="6"/>
  <c r="AL28" i="6" s="1"/>
  <c r="AJ29" i="6" s="1"/>
  <c r="AP18" i="6" s="1"/>
  <c r="K24" i="6" l="1"/>
  <c r="S29" i="6"/>
  <c r="Q30" i="6"/>
  <c r="Q31" i="6" s="1"/>
  <c r="AN23" i="6"/>
  <c r="AP23" i="6"/>
  <c r="AP24" i="6" s="1"/>
  <c r="D30" i="6" s="1"/>
  <c r="AV19" i="6"/>
  <c r="AT19" i="6"/>
  <c r="AT20" i="6" s="1"/>
  <c r="AR19" i="6"/>
  <c r="AP19" i="6"/>
  <c r="AP20" i="6" s="1"/>
  <c r="AP21" i="6" s="1"/>
  <c r="AN19" i="6"/>
  <c r="AN20" i="6" s="1"/>
  <c r="AN21" i="6" s="1"/>
  <c r="BF19" i="6"/>
  <c r="BF20" i="6" s="1"/>
  <c r="BD19" i="6"/>
  <c r="BD20" i="6" s="1"/>
  <c r="AZ19" i="6"/>
  <c r="AZ20" i="6" s="1"/>
  <c r="BB19" i="6"/>
  <c r="BB20" i="6" s="1"/>
  <c r="AX19" i="6"/>
  <c r="AX20" i="6" s="1"/>
  <c r="O117" i="6"/>
  <c r="O118" i="6" s="1"/>
  <c r="O119" i="6" s="1"/>
  <c r="O120" i="6" s="1"/>
  <c r="O121" i="6" s="1"/>
  <c r="F12" i="6" s="1"/>
  <c r="AK29" i="6"/>
  <c r="AA29" i="6"/>
  <c r="AI29" i="6"/>
  <c r="D20" i="6" l="1"/>
  <c r="AN24" i="6"/>
  <c r="H33" i="6" s="1"/>
  <c r="AV20" i="6"/>
  <c r="AR20" i="6"/>
  <c r="AL29" i="6"/>
  <c r="AJ30" i="6" s="1"/>
  <c r="S30" i="6" s="1"/>
  <c r="Q32" i="6"/>
  <c r="F29" i="6" l="1"/>
  <c r="C21" i="6"/>
  <c r="B50" i="6"/>
  <c r="I50" i="6"/>
  <c r="B51" i="6" s="1"/>
  <c r="AK30" i="6"/>
  <c r="AR18" i="6"/>
  <c r="AR21" i="6" s="1"/>
  <c r="AA30" i="6"/>
  <c r="AI30" i="6"/>
  <c r="Q33" i="6"/>
  <c r="I51" i="6" l="1"/>
  <c r="H36" i="6" s="1"/>
  <c r="M36" i="6" s="1"/>
  <c r="AL30" i="6"/>
  <c r="AJ31" i="6" s="1"/>
  <c r="Q34" i="6"/>
  <c r="AT18" i="6" l="1"/>
  <c r="AT21" i="6" s="1"/>
  <c r="S31" i="6"/>
  <c r="AA31" i="6"/>
  <c r="AK31" i="6"/>
  <c r="AI31" i="6"/>
  <c r="Q35" i="6"/>
  <c r="AL31" i="6" l="1"/>
  <c r="AJ32" i="6" s="1"/>
  <c r="Q36" i="6"/>
  <c r="AV18" i="6" l="1"/>
  <c r="AV21" i="6" s="1"/>
  <c r="S32" i="6"/>
  <c r="AI32" i="6"/>
  <c r="AA32" i="6"/>
  <c r="AK32" i="6"/>
  <c r="Q37" i="6"/>
  <c r="AL32" i="6" l="1"/>
  <c r="AJ33" i="6" s="1"/>
  <c r="AX18" i="6" l="1"/>
  <c r="S33" i="6"/>
  <c r="AK33" i="6"/>
  <c r="AI33" i="6"/>
  <c r="AA33" i="6"/>
  <c r="AL33" i="6" l="1"/>
  <c r="AJ34" i="6" s="1"/>
  <c r="AI34" i="6" s="1"/>
  <c r="AA34" i="6" l="1"/>
  <c r="S34" i="6"/>
  <c r="AZ18" i="6"/>
  <c r="AK34" i="6"/>
  <c r="AL34" i="6" s="1"/>
  <c r="AJ35" i="6" s="1"/>
  <c r="AK35" i="6" s="1"/>
  <c r="BB18" i="6" l="1"/>
  <c r="S35" i="6"/>
  <c r="AA35" i="6"/>
  <c r="AI35" i="6"/>
  <c r="AL35" i="6" s="1"/>
  <c r="AJ36" i="6" s="1"/>
  <c r="BD18" i="6" l="1"/>
  <c r="S36" i="6"/>
  <c r="AI36" i="6"/>
  <c r="AA36" i="6"/>
  <c r="AK36" i="6"/>
  <c r="BD22" i="6" l="1"/>
  <c r="V36" i="6" s="1"/>
  <c r="AL36" i="6"/>
  <c r="AJ37" i="6" s="1"/>
  <c r="AA37" i="6"/>
  <c r="BF18" i="6" l="1"/>
  <c r="S37" i="6"/>
  <c r="S38" i="6" s="1"/>
  <c r="AI37" i="6"/>
  <c r="AK37" i="6"/>
  <c r="AL37" i="6" s="1"/>
  <c r="AN22" i="6"/>
  <c r="V28" i="6" s="1"/>
  <c r="AP22" i="6"/>
  <c r="V29" i="6" s="1"/>
  <c r="AR22" i="6"/>
  <c r="V30" i="6" s="1"/>
  <c r="AT22" i="6"/>
  <c r="V31" i="6" s="1"/>
  <c r="AV22" i="6"/>
  <c r="V32" i="6" s="1"/>
  <c r="AZ22" i="6"/>
  <c r="V34" i="6" s="1"/>
  <c r="BB22" i="6"/>
  <c r="V35" i="6" s="1"/>
  <c r="AC28" i="6"/>
  <c r="BF22" i="6" l="1"/>
  <c r="V37" i="6" s="1"/>
  <c r="AZ21" i="6"/>
  <c r="V14" i="6" s="1"/>
  <c r="AC29" i="6"/>
  <c r="AC30" i="6" s="1"/>
  <c r="AC31" i="6" s="1"/>
  <c r="AC32" i="6" s="1"/>
  <c r="AC33" i="6" s="1"/>
  <c r="AC34" i="6" s="1"/>
  <c r="AC35" i="6" s="1"/>
  <c r="AC36" i="6" s="1"/>
  <c r="AC37" i="6" s="1"/>
  <c r="AX22" i="6"/>
  <c r="V33" i="6" s="1"/>
  <c r="B56" i="6" l="1"/>
  <c r="I56" i="6"/>
  <c r="I57" i="6" s="1"/>
  <c r="H34" i="6" s="1"/>
  <c r="I58" i="6" l="1"/>
  <c r="H35" i="6" s="1"/>
  <c r="B58" i="6"/>
  <c r="B57" i="6"/>
  <c r="G66" i="6"/>
  <c r="G67" i="6" s="1"/>
  <c r="G77" i="6" s="1"/>
  <c r="M35" i="6" l="1"/>
  <c r="H37" i="6"/>
  <c r="A2" i="6" s="1"/>
  <c r="V68" i="6"/>
  <c r="AV65" i="6" s="1"/>
  <c r="AV64" i="6" s="1"/>
  <c r="S68" i="6"/>
  <c r="AS65" i="6" s="1"/>
  <c r="AS64" i="6" s="1"/>
  <c r="P68" i="6"/>
  <c r="AP65" i="6" s="1"/>
  <c r="AP64" i="6" s="1"/>
  <c r="G68" i="6"/>
  <c r="J68" i="6"/>
  <c r="J69" i="6" s="1"/>
  <c r="J70" i="6" s="1"/>
  <c r="G76" i="6"/>
  <c r="G69" i="6" l="1"/>
  <c r="G70" i="6" s="1"/>
  <c r="M69" i="6"/>
  <c r="M70" i="6" s="1"/>
  <c r="AM65" i="6" s="1"/>
  <c r="AG65" i="6"/>
  <c r="AG64" i="6" s="1"/>
  <c r="AJ65" i="6"/>
  <c r="AV63" i="6"/>
  <c r="AS63" i="6"/>
  <c r="AP63" i="6"/>
  <c r="AB4" i="6"/>
  <c r="AB3" i="6"/>
  <c r="AB2" i="6"/>
  <c r="AB1" i="6"/>
  <c r="AB6" i="6"/>
  <c r="AB5" i="6"/>
  <c r="AV75" i="6" l="1"/>
  <c r="AV76" i="6"/>
  <c r="AP75" i="6"/>
  <c r="AP76" i="6"/>
  <c r="AS76" i="6"/>
  <c r="AS75" i="6"/>
  <c r="AS77" i="6" s="1"/>
  <c r="AM64" i="6"/>
  <c r="AM72" i="6" s="1"/>
  <c r="AM63" i="6"/>
  <c r="AJ64" i="6"/>
  <c r="AJ68" i="6" s="1"/>
  <c r="AJ63" i="6"/>
  <c r="AA13" i="6"/>
  <c r="Q14" i="6"/>
  <c r="AG63" i="6"/>
  <c r="AG72" i="6"/>
  <c r="AM68" i="6"/>
  <c r="AV72" i="6"/>
  <c r="AV68" i="6"/>
  <c r="AV71" i="6"/>
  <c r="AV67" i="6"/>
  <c r="AS71" i="6"/>
  <c r="AS67" i="6"/>
  <c r="AS72" i="6"/>
  <c r="AS68" i="6"/>
  <c r="AP71" i="6"/>
  <c r="AP67" i="6"/>
  <c r="AP72" i="6"/>
  <c r="AP68" i="6"/>
  <c r="AM75" i="6" l="1"/>
  <c r="AM76" i="6"/>
  <c r="AM67" i="6"/>
  <c r="AM71" i="6"/>
  <c r="AJ75" i="6"/>
  <c r="AJ76" i="6"/>
  <c r="AG67" i="6"/>
  <c r="AG76" i="6"/>
  <c r="AG75" i="6"/>
  <c r="AP77" i="6"/>
  <c r="AJ71" i="6"/>
  <c r="AV77" i="6"/>
  <c r="AJ67" i="6"/>
  <c r="AJ69" i="6" s="1"/>
  <c r="AJ72" i="6"/>
  <c r="AV69" i="6"/>
  <c r="AG68" i="6"/>
  <c r="AG71" i="6"/>
  <c r="AG73" i="6" s="1"/>
  <c r="G72" i="6" s="1"/>
  <c r="AV73" i="6"/>
  <c r="AS69" i="6"/>
  <c r="AM69" i="6"/>
  <c r="M71" i="6" s="1"/>
  <c r="AP73" i="6"/>
  <c r="AP69" i="6"/>
  <c r="AM73" i="6"/>
  <c r="M72" i="6" s="1"/>
  <c r="M74" i="6" s="1"/>
  <c r="AS73" i="6"/>
  <c r="S82" i="6"/>
  <c r="S79" i="6"/>
  <c r="S84" i="6" s="1"/>
  <c r="S85" i="6" s="1"/>
  <c r="AG77" i="6" l="1"/>
  <c r="G75" i="6" s="1"/>
  <c r="AJ73" i="6"/>
  <c r="J72" i="6" s="1"/>
  <c r="J74" i="6" s="1"/>
  <c r="AJ77" i="6"/>
  <c r="J75" i="6" s="1"/>
  <c r="AG69" i="6"/>
  <c r="G71" i="6" s="1"/>
  <c r="AM77" i="6"/>
  <c r="M75" i="6" s="1"/>
  <c r="G74" i="6"/>
  <c r="J71" i="6"/>
  <c r="S81" i="6"/>
  <c r="V82" i="6"/>
  <c r="V79" i="6"/>
  <c r="V84" i="6" s="1"/>
  <c r="V85" i="6" s="1"/>
  <c r="G79" i="6" l="1"/>
  <c r="G81" i="6" s="1"/>
  <c r="AJ86" i="6"/>
  <c r="G82" i="6"/>
  <c r="AJ85" i="6"/>
  <c r="J79" i="6"/>
  <c r="J81" i="6" s="1"/>
  <c r="J82" i="6"/>
  <c r="M82" i="6"/>
  <c r="M79" i="6"/>
  <c r="P82" i="6"/>
  <c r="P79" i="6"/>
  <c r="O125" i="6"/>
  <c r="P81" i="6"/>
  <c r="P84" i="6"/>
  <c r="P85" i="6" s="1"/>
  <c r="V81" i="6"/>
  <c r="M84" i="6" l="1"/>
  <c r="M85" i="6" s="1"/>
  <c r="J84" i="6"/>
  <c r="J85" i="6" s="1"/>
  <c r="M81" i="6"/>
  <c r="G84" i="6"/>
  <c r="G85" i="6" s="1"/>
  <c r="AC84" i="6" l="1"/>
  <c r="J20" i="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Cleber Arantes  Amorim Junior</author>
  </authors>
  <commentList>
    <comment ref="P7" authorId="0" shapeId="0" xr:uid="{210FBB17-868B-4619-A7ED-AD7AAC75FE18}">
      <text>
        <r>
          <rPr>
            <b/>
            <sz val="11"/>
            <color indexed="81"/>
            <rFont val="Segoe UI"/>
            <family val="2"/>
          </rPr>
          <t>Antigo fator térmico</t>
        </r>
        <r>
          <rPr>
            <sz val="11"/>
            <color indexed="81"/>
            <rFont val="Segoe UI"/>
            <family val="2"/>
          </rPr>
          <t xml:space="preserve">
</t>
        </r>
      </text>
    </comment>
    <comment ref="R9" authorId="0" shapeId="0" xr:uid="{5F58F4BC-A945-43C7-AF50-A8F884D129AF}">
      <text>
        <r>
          <rPr>
            <b/>
            <sz val="11"/>
            <color indexed="81"/>
            <rFont val="Segoe UI"/>
            <family val="2"/>
          </rPr>
          <t>TC med. comprado se especificado um Fator de Segurança</t>
        </r>
        <r>
          <rPr>
            <sz val="11"/>
            <color indexed="81"/>
            <rFont val="Segoe UI"/>
            <family val="2"/>
          </rPr>
          <t xml:space="preserve">
</t>
        </r>
      </text>
    </comment>
    <comment ref="N11" authorId="0" shapeId="0" xr:uid="{160E5CD2-1BA3-4B47-B405-26D58BB93A64}">
      <text>
        <r>
          <rPr>
            <sz val="11"/>
            <color indexed="81"/>
            <rFont val="Segoe UI"/>
            <family val="2"/>
          </rPr>
          <t>Se resistência não limitada, usar 0.
Entrar com total e não por espira.</t>
        </r>
      </text>
    </comment>
    <comment ref="U11" authorId="0" shapeId="0" xr:uid="{6DD551A0-00B5-41BC-864E-EFCABEBE1BD7}">
      <text>
        <r>
          <rPr>
            <sz val="11"/>
            <color indexed="81"/>
            <rFont val="Segoe UI"/>
            <family val="2"/>
          </rPr>
          <t>Conjunto de TCs alinhados pelo diâmetro externo ou interno</t>
        </r>
      </text>
    </comment>
  </commentList>
</comments>
</file>

<file path=xl/sharedStrings.xml><?xml version="1.0" encoding="utf-8"?>
<sst xmlns="http://schemas.openxmlformats.org/spreadsheetml/2006/main" count="2808" uniqueCount="687">
  <si>
    <t xml:space="preserve"> Departamento:</t>
  </si>
  <si>
    <t>T</t>
  </si>
  <si>
    <t>Folha: 1/1</t>
  </si>
  <si>
    <t xml:space="preserve"> Data:</t>
  </si>
  <si>
    <t xml:space="preserve"> Aprov.:</t>
  </si>
  <si>
    <t xml:space="preserve"> Verif.:</t>
  </si>
  <si>
    <t xml:space="preserve"> Feito:</t>
  </si>
  <si>
    <t>No.</t>
  </si>
  <si>
    <t>Denominação</t>
  </si>
  <si>
    <t>Código do Item</t>
  </si>
  <si>
    <t>Dimensões</t>
  </si>
  <si>
    <t>Designação</t>
  </si>
  <si>
    <t>Mat. Prima</t>
  </si>
  <si>
    <t>Grupo No.</t>
  </si>
  <si>
    <t>Qt.</t>
  </si>
  <si>
    <t>Unid.</t>
  </si>
  <si>
    <t xml:space="preserve"> MONTAGEM</t>
  </si>
  <si>
    <t>00</t>
  </si>
  <si>
    <t xml:space="preserve"> CORTE DE PAPEL</t>
  </si>
  <si>
    <t xml:space="preserve"> N4-2210007G3</t>
  </si>
  <si>
    <t xml:space="preserve"> 0.074mm</t>
  </si>
  <si>
    <t>THERMO-90</t>
  </si>
  <si>
    <t>kg</t>
  </si>
  <si>
    <t>01</t>
  </si>
  <si>
    <t xml:space="preserve"> FIO RETANGULAR</t>
  </si>
  <si>
    <t>COBRE</t>
  </si>
  <si>
    <r>
      <rPr>
        <sz val="11"/>
        <color theme="1"/>
        <rFont val="Arial Narrow"/>
        <family val="2"/>
      </rPr>
      <t xml:space="preserve">- </t>
    </r>
    <r>
      <rPr>
        <u/>
        <sz val="10"/>
        <color theme="1"/>
        <rFont val="Arial"/>
        <family val="2"/>
      </rPr>
      <t>OBSERVAÇÕES:</t>
    </r>
  </si>
  <si>
    <t>- CARRETEL:</t>
  </si>
  <si>
    <t>Peso Liq. (kg):</t>
  </si>
  <si>
    <t>TRANSFORMADOR DE CORRENTE</t>
  </si>
  <si>
    <t>mm</t>
  </si>
  <si>
    <t>%</t>
  </si>
  <si>
    <t>m</t>
  </si>
  <si>
    <t>Dados para o desenho de fabricação:</t>
  </si>
  <si>
    <t>Número do desenho:</t>
  </si>
  <si>
    <t>Feito:</t>
  </si>
  <si>
    <t>Verificado:</t>
  </si>
  <si>
    <t>Aprovado:</t>
  </si>
  <si>
    <t>Z4-3916999</t>
  </si>
  <si>
    <t>VA</t>
  </si>
  <si>
    <t>X</t>
  </si>
  <si>
    <t>COS FI</t>
  </si>
  <si>
    <t>Nome</t>
  </si>
  <si>
    <t>V p/ 20xI</t>
  </si>
  <si>
    <t>Z 5A</t>
  </si>
  <si>
    <t>Z 1A</t>
  </si>
  <si>
    <t>R 5A</t>
  </si>
  <si>
    <t>X 5A</t>
  </si>
  <si>
    <t>R 1A</t>
  </si>
  <si>
    <t>X 1A</t>
  </si>
  <si>
    <t>CARGAS COM FP 0.9 PARA 1A</t>
  </si>
  <si>
    <t>CARGAS COM FP 0.5 PARA 1A</t>
  </si>
  <si>
    <t>--</t>
  </si>
  <si>
    <t>CARGAS PADRONIZADAS ABNT  NBR 6856:1993 (TABELA 10) COM FP 0.9 (5A)</t>
  </si>
  <si>
    <t>CARGAS PADRONIZADAS ABNT  NBR 6856:1993 (TABELA 10) COM FP 0.5 (5A)</t>
  </si>
  <si>
    <t>CARGAS PADRONIZADAS ABNT  NBR 6856:2015 (TABELA 8) COM FP 0.9 (5A)</t>
  </si>
  <si>
    <t>CARGAS PADRONIZADAS ABNT  NBR 6856:2015 (TABELA 9) COM FP 0.5 (5A)</t>
  </si>
  <si>
    <t>CARGAS PADRONIZADAS ABNT  NBR 6856:2015 (TABELA 10) COM FP 1.0 (1A)</t>
  </si>
  <si>
    <t>CARGAS PADRONIZADAS ABNT  NBR 6856:2015 (TABELA 11) COM FP 0.9 (1A)</t>
  </si>
  <si>
    <t>CARGAS PADRONIZADAS IEEE C57.13:2016 (TABELA 10) COM FP 0.9 (5A)</t>
  </si>
  <si>
    <t>FT</t>
  </si>
  <si>
    <t>0.15S</t>
  </si>
  <si>
    <t>0.15N</t>
  </si>
  <si>
    <t>0.3S</t>
  </si>
  <si>
    <t>Erro In</t>
  </si>
  <si>
    <t>Erro 0.1In</t>
  </si>
  <si>
    <t>Erro 0.05In</t>
  </si>
  <si>
    <t>Classe Med</t>
  </si>
  <si>
    <t>Classe Prot</t>
  </si>
  <si>
    <t>Beta In</t>
  </si>
  <si>
    <t>Beta 0.1In</t>
  </si>
  <si>
    <t>Beta 0.05In</t>
  </si>
  <si>
    <t>C</t>
  </si>
  <si>
    <t>ERROS e FATORES TÉRMICOS PADRONIZADOS ABNT  NBR 6856:1993 (ITENS 5.2.5, 5.2.6 e 5.2.7 / ANEXO B)</t>
  </si>
  <si>
    <t>Erro 20In</t>
  </si>
  <si>
    <t>50Hz</t>
  </si>
  <si>
    <t>60Hz</t>
  </si>
  <si>
    <t>Nr</t>
  </si>
  <si>
    <t>Js</t>
  </si>
  <si>
    <t>Jd</t>
  </si>
  <si>
    <t>Je</t>
  </si>
  <si>
    <t>Jr</t>
  </si>
  <si>
    <t>DC</t>
  </si>
  <si>
    <t>Hd</t>
  </si>
  <si>
    <t>He</t>
  </si>
  <si>
    <t>Hc</t>
  </si>
  <si>
    <t>Ss</t>
  </si>
  <si>
    <t>Ps</t>
  </si>
  <si>
    <t>Mu</t>
  </si>
  <si>
    <t>Freq.</t>
  </si>
  <si>
    <t>I ( rms)</t>
  </si>
  <si>
    <t>FMM (rms)</t>
  </si>
  <si>
    <t>LEGENDA</t>
  </si>
  <si>
    <t>SÍMBOLO</t>
  </si>
  <si>
    <t>VARIÁVEL</t>
  </si>
  <si>
    <t>UNIDADE</t>
  </si>
  <si>
    <t>N° do parâmetro de teste</t>
  </si>
  <si>
    <t>Intensidade de campo magnético efetivo</t>
  </si>
  <si>
    <t>A/M</t>
  </si>
  <si>
    <t>Indução  magnética de SetPoint</t>
  </si>
  <si>
    <t xml:space="preserve"> mT</t>
  </si>
  <si>
    <t>Intensidade de campo magnético direto</t>
  </si>
  <si>
    <t>Indução magnética direta</t>
  </si>
  <si>
    <t>Potência   de   excitação  ( Aparente)</t>
  </si>
  <si>
    <t>VA/Kg</t>
  </si>
  <si>
    <t>Indução  magnética efetiva</t>
  </si>
  <si>
    <t xml:space="preserve">Perda  magnética   </t>
  </si>
  <si>
    <t>W/Kg</t>
  </si>
  <si>
    <t>Indução magnética remanente</t>
  </si>
  <si>
    <t>Permeabilidade relativa</t>
  </si>
  <si>
    <t>Adm.</t>
  </si>
  <si>
    <t>FF</t>
  </si>
  <si>
    <t>Fator de forma da onda senoidal</t>
  </si>
  <si>
    <t xml:space="preserve">Frequência </t>
  </si>
  <si>
    <t>Hz</t>
  </si>
  <si>
    <t>Desvio de campo contínuo</t>
  </si>
  <si>
    <t>I ( rms )</t>
  </si>
  <si>
    <t>Corrente    de magnetização</t>
  </si>
  <si>
    <t>Ampér</t>
  </si>
  <si>
    <t>Força magnetomotriz</t>
  </si>
  <si>
    <t>Js (mT)</t>
  </si>
  <si>
    <t>Ps (W/kg)</t>
  </si>
  <si>
    <t>Ss (VA/kg)</t>
  </si>
  <si>
    <t>VA 60/50</t>
  </si>
  <si>
    <t>W 60/50</t>
  </si>
  <si>
    <t>Notar no item 5.1 a) e no rodapé da tabela 8 da IEEE C57.13-2016 que os mesmos erros que se aplicam a corrente nominal, devem ser usados com a corrente x fator térmico (contínuo que não deve ser misturado com o de curta duração)</t>
  </si>
  <si>
    <t>A elevação de temperatura limitada por norma implica em não deixar o TC saturar no fator térmico (RF) especificado, o que não está sendo obedecido acima.</t>
  </si>
  <si>
    <t>Norma:</t>
  </si>
  <si>
    <t>Norma</t>
  </si>
  <si>
    <t>Lig. AT</t>
  </si>
  <si>
    <t>Lig. BT</t>
  </si>
  <si>
    <t>ABNT</t>
  </si>
  <si>
    <t>Delta</t>
  </si>
  <si>
    <t>Tipo:</t>
  </si>
  <si>
    <t>Tipo</t>
  </si>
  <si>
    <t>Proteção</t>
  </si>
  <si>
    <t>Medição</t>
  </si>
  <si>
    <t>Ident. TC:</t>
  </si>
  <si>
    <t>Buchas:</t>
  </si>
  <si>
    <t>:</t>
  </si>
  <si>
    <t>Terminais</t>
  </si>
  <si>
    <t>2 Term.</t>
  </si>
  <si>
    <t>Freq.:</t>
  </si>
  <si>
    <t>Classe:</t>
  </si>
  <si>
    <t>Classe</t>
  </si>
  <si>
    <t>3 Term.</t>
  </si>
  <si>
    <t>4 Term.</t>
  </si>
  <si>
    <t>5 Term.</t>
  </si>
  <si>
    <t>6 Term.</t>
  </si>
  <si>
    <t>Qt. TC:</t>
  </si>
  <si>
    <t>IEEE C57.13:2016</t>
  </si>
  <si>
    <t>NBR IEC 61869-2:2021</t>
  </si>
  <si>
    <t>ERROS e FATORES TÉRMICOS PADRONIZADOS PARA TCs DE MEDIÇÃO IEEE C57.13:2016 (TABELAS 8 e 10 / ITEM 6.5)</t>
  </si>
  <si>
    <t>CARGAS PADRONIZADAS IEEE C57.13:2016 (TABELA 13) COM FP 0.9 E 0.5 (5A)</t>
  </si>
  <si>
    <t>Projeto:</t>
  </si>
  <si>
    <t>I nom:</t>
  </si>
  <si>
    <t>Ipr</t>
  </si>
  <si>
    <t>Isr</t>
  </si>
  <si>
    <t>Icth</t>
  </si>
  <si>
    <t>pu de Ipr</t>
  </si>
  <si>
    <t>FS:</t>
  </si>
  <si>
    <t>Back turn:</t>
  </si>
  <si>
    <t>FP:</t>
  </si>
  <si>
    <t>Z:</t>
  </si>
  <si>
    <t>V</t>
  </si>
  <si>
    <t>ALF</t>
  </si>
  <si>
    <t>Ω</t>
  </si>
  <si>
    <t>ALF:</t>
  </si>
  <si>
    <t>Fio:</t>
  </si>
  <si>
    <t>Fio</t>
  </si>
  <si>
    <t>10 AWG</t>
  </si>
  <si>
    <t>12 AWG</t>
  </si>
  <si>
    <t>13 AWG</t>
  </si>
  <si>
    <t>16 AWG</t>
  </si>
  <si>
    <t>17 AWG</t>
  </si>
  <si>
    <t>18 AWG</t>
  </si>
  <si>
    <t>19 AWG</t>
  </si>
  <si>
    <t>20 AWG</t>
  </si>
  <si>
    <t>Paralelos:</t>
  </si>
  <si>
    <t>Paralelos</t>
  </si>
  <si>
    <t>Aço</t>
  </si>
  <si>
    <t>Silício:</t>
  </si>
  <si>
    <t>R120-27</t>
  </si>
  <si>
    <t>Resist. &lt;</t>
  </si>
  <si>
    <r>
      <rPr>
        <sz val="11"/>
        <rFont val="Calibri"/>
        <family val="2"/>
      </rPr>
      <t>Ω</t>
    </r>
    <r>
      <rPr>
        <sz val="11"/>
        <rFont val="Arial Narrow"/>
        <family val="2"/>
      </rPr>
      <t xml:space="preserve"> total</t>
    </r>
  </si>
  <si>
    <t>H110-27</t>
  </si>
  <si>
    <t>W:</t>
  </si>
  <si>
    <t>Largura</t>
  </si>
  <si>
    <t>#:</t>
  </si>
  <si>
    <r>
      <rPr>
        <sz val="11"/>
        <rFont val="Calibri"/>
        <family val="2"/>
      </rPr>
      <t>Ø</t>
    </r>
    <r>
      <rPr>
        <sz val="11"/>
        <rFont val="Arial Narrow"/>
        <family val="2"/>
      </rPr>
      <t xml:space="preserve"> base:</t>
    </r>
  </si>
  <si>
    <t>Diâmetro</t>
  </si>
  <si>
    <t xml:space="preserve">Interno </t>
  </si>
  <si>
    <t>Externo</t>
  </si>
  <si>
    <r>
      <rPr>
        <sz val="11"/>
        <rFont val="Calibri"/>
        <family val="2"/>
      </rPr>
      <t>Ø</t>
    </r>
    <r>
      <rPr>
        <sz val="11"/>
        <rFont val="Arial Narrow"/>
        <family val="2"/>
      </rPr>
      <t>:</t>
    </r>
  </si>
  <si>
    <t>Espiras:</t>
  </si>
  <si>
    <t>Espiras</t>
  </si>
  <si>
    <t xml:space="preserve"> </t>
  </si>
  <si>
    <t>A</t>
  </si>
  <si>
    <t>i</t>
  </si>
  <si>
    <t>f</t>
  </si>
  <si>
    <t>FIOS CIRCULARES PADRÃO AWG</t>
  </si>
  <si>
    <t>AWG</t>
  </si>
  <si>
    <t>Dia ext</t>
  </si>
  <si>
    <t>8 AWG</t>
  </si>
  <si>
    <t>Diâmetro do fio isolado:</t>
  </si>
  <si>
    <t>Item</t>
  </si>
  <si>
    <t>Seção do fio nu:</t>
  </si>
  <si>
    <r>
      <t>cm</t>
    </r>
    <r>
      <rPr>
        <vertAlign val="superscript"/>
        <sz val="11"/>
        <rFont val="Arial Narrow"/>
        <family val="2"/>
      </rPr>
      <t>2</t>
    </r>
  </si>
  <si>
    <t>S cm2</t>
  </si>
  <si>
    <t>Camada</t>
  </si>
  <si>
    <t>Tap</t>
  </si>
  <si>
    <t>mm/esp</t>
  </si>
  <si>
    <t>Cam</t>
  </si>
  <si>
    <t>Vez</t>
  </si>
  <si>
    <t>+</t>
  </si>
  <si>
    <t>Rep</t>
  </si>
  <si>
    <t>Ipr (A)</t>
  </si>
  <si>
    <r>
      <rPr>
        <sz val="11"/>
        <rFont val="Calibri"/>
        <family val="2"/>
      </rPr>
      <t>Ω</t>
    </r>
    <r>
      <rPr>
        <sz val="11"/>
        <rFont val="Arial Narrow"/>
        <family val="2"/>
      </rPr>
      <t xml:space="preserve"> @ 75ºC</t>
    </r>
  </si>
  <si>
    <t>Recozimento:</t>
  </si>
  <si>
    <t>sim</t>
  </si>
  <si>
    <t>Revisão</t>
  </si>
  <si>
    <t>Cálculo do Núcleo</t>
  </si>
  <si>
    <t>cm</t>
  </si>
  <si>
    <t>Cálculo do Fio</t>
  </si>
  <si>
    <t>Características</t>
  </si>
  <si>
    <t>(FCR)</t>
  </si>
  <si>
    <t>Volt / Espira =</t>
  </si>
  <si>
    <t>K</t>
  </si>
  <si>
    <t>mec</t>
  </si>
  <si>
    <t>elet</t>
  </si>
  <si>
    <t>Data:</t>
  </si>
  <si>
    <t>08/05/2023</t>
  </si>
  <si>
    <t>Gabriel C.</t>
  </si>
  <si>
    <t>André G.</t>
  </si>
  <si>
    <t>W / kg =</t>
  </si>
  <si>
    <t>AEspira / cm =</t>
  </si>
  <si>
    <t>Back-Turn =</t>
  </si>
  <si>
    <t>F. Cor. Relação =</t>
  </si>
  <si>
    <t>minuto</t>
  </si>
  <si>
    <t>ângulo</t>
  </si>
  <si>
    <t>desvio</t>
  </si>
  <si>
    <t>Erro</t>
  </si>
  <si>
    <t>GRAFICO PARA CLASSE 0.3</t>
  </si>
  <si>
    <t>GRAFICO PARA CLASSE 0.6</t>
  </si>
  <si>
    <t>GRAFICO PARA CLASSE 1.2</t>
  </si>
  <si>
    <t>TC</t>
  </si>
  <si>
    <t>Thermal Rat. Factor:</t>
  </si>
  <si>
    <t>Correções Necessárias</t>
  </si>
  <si>
    <t>Inclusões Desejadas</t>
  </si>
  <si>
    <t>Permitir escolha de diâmetro interno ou externo como referência</t>
  </si>
  <si>
    <t>R projeto</t>
  </si>
  <si>
    <t>E projeto</t>
  </si>
  <si>
    <t>E final</t>
  </si>
  <si>
    <t>R final</t>
  </si>
  <si>
    <t>Beta final</t>
  </si>
  <si>
    <t>Beta projeto</t>
  </si>
  <si>
    <t>VARIAÇÃO DE RESISTÊNCIA COM SAÍDAS, ERRO E BETA DOS TCs - OF 19169-01</t>
  </si>
  <si>
    <t>a) Geral</t>
  </si>
  <si>
    <t>c) TC IEEE Std C57.13-2016</t>
  </si>
  <si>
    <t>b) ABNT NBR IEC 61869-2:2021</t>
  </si>
  <si>
    <t>PRÉVIA PARA DISCUSSÃO DO ESCOPO DE ALTERAÇÃO DO PROGRAMA DE CÁLCULO DE TC</t>
  </si>
  <si>
    <t>Possibilidade de prever fios em paralelo p/ atender limites de resistência e erros críticos</t>
  </si>
  <si>
    <t>Alterar cálculo dimensional dos TCs, considerando variação de fabricação manual / máquina</t>
  </si>
  <si>
    <t>Alterar cálculo do número de camadas (agora função das espiras por tap)</t>
  </si>
  <si>
    <t>Adicionar cálculo de elevação de temperatura com base em protótipo (é ensaio de tipo e nunca fazemos)</t>
  </si>
  <si>
    <t>Corrigir curvas dos aços atuais (W/kg e VA/kg) e verificar limites (hj dá valor mesmo após saturação)</t>
  </si>
  <si>
    <t>Corrigir checagens de erros para medição com classe 0.3S (checada com 5% da corrente e não 10%)</t>
  </si>
  <si>
    <t xml:space="preserve">Adicionar checagens de erros para proteção em In (&lt;3%), FTxIn (&lt;3%) e 20 x In (&lt;10%) </t>
  </si>
  <si>
    <t>Cálculo ou aviso para TCs destinados a imagem térmica ou compensação de queda (Anexo B)</t>
  </si>
  <si>
    <t>Adicionar checagem de tensões limites no secundário</t>
  </si>
  <si>
    <t>Adicionar classes IEEE conf. tabelas 10 e 13 (hj feito como se fossem mesmas classes da antiga ABNT)</t>
  </si>
  <si>
    <t>Gerar desenho de montagem dos TCs</t>
  </si>
  <si>
    <t>Informar peso total de cobre (separado por bitola) e silício do projeto</t>
  </si>
  <si>
    <t>Adicionar TCs de proteção tipo X? (controle de joelho, Io e resistência). Tipo T N/A (limite residual).</t>
  </si>
  <si>
    <t>Tipo PX? (controle joelho e resistência). Tipos PR, PXR (limite residual), TPX, TPY e TPZ (transitórios) N/A.</t>
  </si>
  <si>
    <t>Adicionar cálculo da fem para TCs de medição (com FS) e proteção (com ALF)</t>
  </si>
  <si>
    <t>Calcular erro e ângulo para medição com 100% da corrente, mesmo quando há FT&gt;1 (hj é omitido)</t>
  </si>
  <si>
    <t>Alterar lista de larguras disponíveis considerando 40mm como possibilidade (retirar duplicadas)</t>
  </si>
  <si>
    <t>Revisar/checar metodologia de cálculo segundo novas revisões das normas</t>
  </si>
  <si>
    <t>Gerar desenhos para TCs fabricados na máquina (isolados em PET) e via manual (isolado em papel)</t>
  </si>
  <si>
    <t>Inteferir em qualidade do processo, como onde é feita a solda hoje? No de isol. entre camadas?</t>
  </si>
  <si>
    <t>Adicionar 0.2S e 0.5S conforme erros e ângulos da tabela 202.</t>
  </si>
  <si>
    <t>Adicionar possibilidade de classe de exatidão extendida.</t>
  </si>
  <si>
    <t>Adicionar classes 0.15 com novo paralelogramo</t>
  </si>
  <si>
    <t>pu</t>
  </si>
  <si>
    <t>kA</t>
  </si>
  <si>
    <t>Duração da corrente de curto-circuito simétrica:</t>
  </si>
  <si>
    <t>s</t>
  </si>
  <si>
    <t>Elevação de temperatura do ponto mais quente:</t>
  </si>
  <si>
    <t>°C</t>
  </si>
  <si>
    <t>Máxima corrente de curta duração:</t>
  </si>
  <si>
    <r>
      <t xml:space="preserve">Máxima temperatura enrolamento </t>
    </r>
    <r>
      <rPr>
        <sz val="11"/>
        <rFont val="Arial"/>
        <family val="2"/>
      </rPr>
      <t>θ</t>
    </r>
    <r>
      <rPr>
        <sz val="11"/>
        <rFont val="Arial Narrow"/>
        <family val="2"/>
      </rPr>
      <t>m:</t>
    </r>
  </si>
  <si>
    <r>
      <t xml:space="preserve">Máxima temperatura inicial </t>
    </r>
    <r>
      <rPr>
        <sz val="11"/>
        <rFont val="Arial"/>
        <family val="2"/>
      </rPr>
      <t>θ</t>
    </r>
    <r>
      <rPr>
        <sz val="11"/>
        <rFont val="Arial Narrow"/>
        <family val="2"/>
      </rPr>
      <t>s:</t>
    </r>
  </si>
  <si>
    <t>Cáculo da temperatura em curto-circuito conforme item 11.1.2 da IEEE Std C57.13-2016</t>
  </si>
  <si>
    <t>A/cm2</t>
  </si>
  <si>
    <t>cm2</t>
  </si>
  <si>
    <t>Seção do condutor A:</t>
  </si>
  <si>
    <t>Ws/(°C.cm3)</t>
  </si>
  <si>
    <r>
      <t xml:space="preserve">Resistência específica a 20oC </t>
    </r>
    <r>
      <rPr>
        <sz val="11"/>
        <rFont val="Arial"/>
        <family val="2"/>
      </rPr>
      <t>ρ</t>
    </r>
    <r>
      <rPr>
        <sz val="11"/>
        <rFont val="Arial Narrow"/>
        <family val="2"/>
      </rPr>
      <t>:</t>
    </r>
  </si>
  <si>
    <t>Capacitância térmica/volume C:</t>
  </si>
  <si>
    <t>Ω-cm</t>
  </si>
  <si>
    <t>Constante de correção da resistência:</t>
  </si>
  <si>
    <t>Temperatura ambiente média:</t>
  </si>
  <si>
    <t>Relação de perdas stray/resistivas estimada:</t>
  </si>
  <si>
    <t>Máxima corrente simétrica de curto-circuito I:</t>
  </si>
  <si>
    <t>Densidade de curto I/A para a max. temp.:</t>
  </si>
  <si>
    <t>Corrente de curto admissível no secundário:</t>
  </si>
  <si>
    <t>Corrente de curto a informar pelo tempo t:</t>
  </si>
  <si>
    <t>conforme anexo B da IEEE</t>
  </si>
  <si>
    <t>é isto que fabricantes informam?</t>
  </si>
  <si>
    <t>Corrente térmica de curto admissível a informar:</t>
  </si>
  <si>
    <t>Corrente de curto admissível no primário teórico?:</t>
  </si>
  <si>
    <t>Corrente dinâmica de curto admissível a informar:</t>
  </si>
  <si>
    <t>Cáculo estimativo da elevação de temperatura do secundário do TC</t>
  </si>
  <si>
    <t>x (# isolamento total entre camadas):</t>
  </si>
  <si>
    <t>z (# isolamento interno / externo):</t>
  </si>
  <si>
    <t>número de camadas:</t>
  </si>
  <si>
    <t>y (fator compensação do isolamento por bloco):</t>
  </si>
  <si>
    <t>y (fator compensação do isolamento por camada):</t>
  </si>
  <si>
    <t>Ny (fator e compensação do isolamento):</t>
  </si>
  <si>
    <t>W/cm2</t>
  </si>
  <si>
    <t>Ws (densidade de potência térmica):</t>
  </si>
  <si>
    <t>CAO (elevação enrolamento / óleo médio):</t>
  </si>
  <si>
    <t>ºC</t>
  </si>
  <si>
    <t>Gradiente de temperatura do núcleo:</t>
  </si>
  <si>
    <t>Diâmetro equivalente do núcleo:</t>
  </si>
  <si>
    <t>Possibilidade de solicitar cálculo de erro em mais de uma relação</t>
  </si>
  <si>
    <t>Influência do núcleo (como calcular elevação?) e da altitude na elevação de temperatura?</t>
  </si>
  <si>
    <t>Acicionar cálculo da checagem térmica de curto-circuito (conf. Anexo B - TC de bucha)</t>
  </si>
  <si>
    <t>Unificar/imprimir checagens de erro e corrigir avisos (falso erro alarmado e erro real não avisado)</t>
  </si>
  <si>
    <t>Adicionar chec. erros e ângulos para 25% e 50% da carga (hj só varia Is e mantem 100% da carga)</t>
  </si>
  <si>
    <t>Adicionar checagem de erros e ângulos para classe S em 6 condições (1, 5, 20, 100, 120% In, "FT")</t>
  </si>
  <si>
    <t xml:space="preserve">Para TCs de medição o erro a checar deve ser conforme tabela 8 </t>
  </si>
  <si>
    <t>Para TCs de proteção o erro a checar deve ser conforme tabela 12</t>
  </si>
  <si>
    <t>Substituir "S" por "X" na identificação dos terminais e revisar relações conforme padrão da norma</t>
  </si>
  <si>
    <t>Sugerir "fatores térmicos" e outros dados preferenciais</t>
  </si>
  <si>
    <t>ESCOPO DE ALTERAÇÃO DO PROGRAMA DE CÁLCULO DE TCs</t>
  </si>
  <si>
    <t>Manter TC especial (2 núcleos), TCs NBR 6856/1993 e 6856/2015</t>
  </si>
  <si>
    <t>verificar com P</t>
  </si>
  <si>
    <t>e) Outros pontos confirmados</t>
  </si>
  <si>
    <t>Adicionar nota quando fios paralelos maior que 2 devem adicionados ao final do secundário (P?)</t>
  </si>
  <si>
    <t>Adicionar aviso para TCs destinados a imagem térmica ou compensação de queda (Anexo B)</t>
  </si>
  <si>
    <t>Adicionar possibilidade de solicitar cálculo de erro em mais de uma relação</t>
  </si>
  <si>
    <t>d) NBR 6856:2015 (similares a IEC)</t>
  </si>
  <si>
    <t>Cálculo com limite de 50A (CHESF) no secundário não é mais necessário</t>
  </si>
  <si>
    <t>Gerar desenho de montagem dos TCs (ver com TM)?</t>
  </si>
  <si>
    <t>Substituir dados do banco de bucha por diâmetro e espaço para TC</t>
  </si>
  <si>
    <t>dos TCs, considerando variação de fabricação manual (alertar) / máquina</t>
  </si>
  <si>
    <t>Alterar cálculo do número de camadas (agora função das espiras por tap), corrigindo o dimensional</t>
  </si>
  <si>
    <t>Corrigir potência para TCs com secundário de 1A</t>
  </si>
  <si>
    <t>aplicáveis (hj dá valor mesmo após saturação)</t>
  </si>
  <si>
    <t>Adicionar checagem de tensões limites no secundário e indicar demanda de uso de proteção</t>
  </si>
  <si>
    <t>Adicionar possibilidade de prever fios em paralelo p/ atender limites de resistência e erros críticos</t>
  </si>
  <si>
    <t>Corrigir cálculo com fator de segurança nos TCs de medição (Bmax e checagem de erro)</t>
  </si>
  <si>
    <t>Unificar/imprimir checagens de erro, corrigir avisos (falso erro alarmado e erro real não avisado) e</t>
  </si>
  <si>
    <t>Abrir campo com entrada de dados sujeitos a valores especiais como potência (sugerir valores)</t>
  </si>
  <si>
    <t>Unificar saídas em uma página e adicionar opção p/ imprimir cálculo detalhado p/ checagem</t>
  </si>
  <si>
    <t>Permitir escolha de diâmetro interno ou externo como referência dimensional</t>
  </si>
  <si>
    <t>Adicionar cálculo da capacidade térmica de curta duração (curto-circuito) por 1s</t>
  </si>
  <si>
    <t>Gerar desenho para TCs fabricado via máquina (isolados em PET) ou manual (isolado em papel)</t>
  </si>
  <si>
    <t>Revisar checagem de erros conforme normas: calcular 100% In mesmo quando há FT&gt;1, adicionar</t>
  </si>
  <si>
    <t>checagem de erros e ângulos para 25% e 50% da carga (hj só varia Is e mantem 100% da carga),</t>
  </si>
  <si>
    <t>(hj só varia Is e mantem 100% da carga)</t>
  </si>
  <si>
    <t>Calcular erro e ângulo para medição com 100% da corrente mesmo quando há FT&gt;1, para TCs de</t>
  </si>
  <si>
    <t>proteção (5P) e tensão para 50% da carga</t>
  </si>
  <si>
    <t>TPE deve avaliar necessidade de corrigir curvas dos aços atuais (W/kg e VA/kg) e verificar Bm limite</t>
  </si>
  <si>
    <t>Corrigir lista de larguras disponíveis considerando 40mm como possibilidade (lista já disponível com TPE)</t>
  </si>
  <si>
    <t>Adicionar checagens de erros para proteção em In (&lt;3%), FTxIn (&lt;3%) e 20 x In (&lt;10%) e corrigir</t>
  </si>
  <si>
    <t>checagens para medição com classe 0.3S (checada com 5% da corrente e não 10%)</t>
  </si>
  <si>
    <t>avisar dados padrões / preferenciais (ident. c/ número, cargas, FT, SF, back-turn com derivação,)</t>
  </si>
  <si>
    <t xml:space="preserve">Calcular altura do conjunto de TCs por bucha </t>
  </si>
  <si>
    <t>(a comparar com L6)</t>
  </si>
  <si>
    <t>adicionar classes 0.2S e 0.5S  (1, 5, 20, 100, 120% In, "FT")</t>
  </si>
  <si>
    <t>Dimensional do TC</t>
  </si>
  <si>
    <t>m2</t>
  </si>
  <si>
    <t>m3</t>
  </si>
  <si>
    <t>s/ fundo</t>
  </si>
  <si>
    <t>1 divisão</t>
  </si>
  <si>
    <t>...</t>
  </si>
  <si>
    <t>E</t>
  </si>
  <si>
    <t>mm (meio coberto)</t>
  </si>
  <si>
    <t>TC Øi</t>
  </si>
  <si>
    <t>NU Øi</t>
  </si>
  <si>
    <t>TC Øe</t>
  </si>
  <si>
    <t>L NU</t>
  </si>
  <si>
    <t>L TC</t>
  </si>
  <si>
    <t>E NU</t>
  </si>
  <si>
    <t>NU Øe</t>
  </si>
  <si>
    <t>E TC</t>
  </si>
  <si>
    <t>DF = diâmetro do fio (dado de entrada)</t>
  </si>
  <si>
    <t>IA = isolamento axial interno + acomodação = 6 para TCs fabricados manualmente / 4 para TCs fabricados na máquina</t>
  </si>
  <si>
    <t>A = altura (espessura axial de cada lado do TC) = IA + [ ( IC + DF ) x ( N ^ EP) ]</t>
  </si>
  <si>
    <t>IR = isolamento radial interno + acomodação = 4 para TCs fabricados manualmente / 2 para TCs fabricados na máquina</t>
  </si>
  <si>
    <t>IC = isolamento entre camadas = 0.5 para TCs fabricados manualmente / 0.1 para TCs fabricados na máquina</t>
  </si>
  <si>
    <t>E = espessura radial de cada lado do TC = IR + [ ( IC + DF ) x ( N ^ EP) ]</t>
  </si>
  <si>
    <t>ENU = espessura do núcleo (dado de entrada)</t>
  </si>
  <si>
    <t>LNU = largura do núcleo (dado de entrada)</t>
  </si>
  <si>
    <t>A identificação das variáveis aqui é somente para referência (ver nomes usados no programa)</t>
  </si>
  <si>
    <t>ETC = espessura do TC = 2 x E + ENU</t>
  </si>
  <si>
    <t>LTC = largura do TC = 2 x A + LNU</t>
  </si>
  <si>
    <t>TC Øe = diâmetro externo do TC (dado de entrada se TC definido pelo diâmetro externo) / pelo interno = TC Øi + 2 x ETC</t>
  </si>
  <si>
    <t>TC Øi = diâmetro interno do TC (dado de entrada se TC definido pelo diâmetro interno) / pelo externo = TC Øe - 2 x ETC</t>
  </si>
  <si>
    <t>NU Øi = diâmetro interno do núcleo: se TC definido pelo diâmetro externo = TC Øe - 2 x E - 2 x ENU / pelo interno = TC Øi + 2 x E</t>
  </si>
  <si>
    <t>A quantidade de fios deve multiplicar também a seção no cálculo do peso e resistência do fio</t>
  </si>
  <si>
    <t>Arredondar para cima de 0.5 em 0.5mm</t>
  </si>
  <si>
    <t>Cleber A.   06/07/2023</t>
  </si>
  <si>
    <t>N</t>
  </si>
  <si>
    <t>TC na máquina). Logo, calcular os diâmetros por camada (1~N). O cálculo da espessura / camada pode ser simplificado, dividindo E / N.</t>
  </si>
  <si>
    <t>EP = exponencial para acomodação no PET entre camadas = 1.0 para TCs fabricados manualmente / 0.9 para TCs fabricados na máquina</t>
  </si>
  <si>
    <t>N = número de camadas = Se TC fabricado manualmente é o processo atual*: X camadas capazes de acomodar total de espiras mecânicas /</t>
  </si>
  <si>
    <t>*Atenção para a modificação com a nova entrada onde a quantidade de fios pode dobrar: multiplicar espiras mecânicas por quant. de fios</t>
  </si>
  <si>
    <t>para TCs fabricados na máquina = (número de terminais - 1) + X camadas nas quais as espiras entre os terminais não cabem** em 1 camada</t>
  </si>
  <si>
    <t>**Atenção pq o diâmetro interno de cada camada será importante para avaliar se as espiras mecânicas entre terminais cabem ou não (caso</t>
  </si>
  <si>
    <t>Precisa ser verificado</t>
  </si>
  <si>
    <t>Checar cálculos do programa existente para avaliar se algum caso especial não está sendo coberto, como o TC de medição especial.</t>
  </si>
  <si>
    <t>0.2S</t>
  </si>
  <si>
    <t>0.5S</t>
  </si>
  <si>
    <r>
      <t>=VA/5</t>
    </r>
    <r>
      <rPr>
        <vertAlign val="superscript"/>
        <sz val="11"/>
        <color theme="1"/>
        <rFont val="Arial Narrow"/>
        <family val="2"/>
      </rPr>
      <t>2</t>
    </r>
  </si>
  <si>
    <r>
      <t>=VA/1</t>
    </r>
    <r>
      <rPr>
        <vertAlign val="superscript"/>
        <sz val="11"/>
        <color theme="1"/>
        <rFont val="Arial Narrow"/>
        <family val="2"/>
      </rPr>
      <t>2</t>
    </r>
  </si>
  <si>
    <t>ZxFP</t>
  </si>
  <si>
    <t>FP</t>
  </si>
  <si>
    <r>
      <t>X</t>
    </r>
    <r>
      <rPr>
        <vertAlign val="superscript"/>
        <sz val="11"/>
        <color theme="1"/>
        <rFont val="Arial Narrow"/>
        <family val="2"/>
      </rPr>
      <t>2</t>
    </r>
    <r>
      <rPr>
        <sz val="11"/>
        <color theme="1"/>
        <rFont val="Arial Narrow"/>
        <family val="2"/>
      </rPr>
      <t>=Z</t>
    </r>
    <r>
      <rPr>
        <vertAlign val="superscript"/>
        <sz val="11"/>
        <color theme="1"/>
        <rFont val="Arial Narrow"/>
        <family val="2"/>
      </rPr>
      <t>2</t>
    </r>
    <r>
      <rPr>
        <sz val="11"/>
        <color theme="1"/>
        <rFont val="Arial Narrow"/>
        <family val="2"/>
      </rPr>
      <t>-R</t>
    </r>
    <r>
      <rPr>
        <vertAlign val="superscript"/>
        <sz val="11"/>
        <color theme="1"/>
        <rFont val="Arial Narrow"/>
        <family val="2"/>
      </rPr>
      <t>2</t>
    </r>
  </si>
  <si>
    <t>Testar Erro e β p/ % de Carga(VA)</t>
  </si>
  <si>
    <t>TCs de Medição</t>
  </si>
  <si>
    <t>VA, FP, Z, R, X</t>
  </si>
  <si>
    <t>Intermed?</t>
  </si>
  <si>
    <t>TCs de Proteção</t>
  </si>
  <si>
    <t>TCs de Proteção classe P</t>
  </si>
  <si>
    <t>Composto</t>
  </si>
  <si>
    <t>&lt;1VA: FP=1</t>
  </si>
  <si>
    <t>Classe P</t>
  </si>
  <si>
    <t>Combinações normalizadas:</t>
  </si>
  <si>
    <t>β N/A</t>
  </si>
  <si>
    <t>Relação</t>
  </si>
  <si>
    <t>Erro, β, ALF, Erro composto</t>
  </si>
  <si>
    <t>Fator limite de exatidão</t>
  </si>
  <si>
    <t>NBR IEC 61869-2:2021 (IEC 61869-2 2012)</t>
  </si>
  <si>
    <t>IEEE Std C57.13-2016</t>
  </si>
  <si>
    <t>Falta verificar fórmula para calcular Erro Composto pela nova versão da norma</t>
  </si>
  <si>
    <t>FP1</t>
  </si>
  <si>
    <t>FP2</t>
  </si>
  <si>
    <t>Fatores p/ checar</t>
  </si>
  <si>
    <t>Paralelogramos das Figuras 2, 3 e 4 da norma</t>
  </si>
  <si>
    <t>São até 12 cálculos de erros e 12 de ângulos, considerando a faixa inferior que não é calculada atualmente</t>
  </si>
  <si>
    <t>Precisa checar com 2 fatores de potência: até 6 cálculos de erro + 6 de ângulo</t>
  </si>
  <si>
    <t>Classe, Erro, β, % de teste, FP teste</t>
  </si>
  <si>
    <t>Classe, Erro, β, % VA de teste</t>
  </si>
  <si>
    <t>R</t>
  </si>
  <si>
    <t>V p/ 20x5A</t>
  </si>
  <si>
    <t>V p/ 20x1A</t>
  </si>
  <si>
    <t>VA p/ 5A</t>
  </si>
  <si>
    <t>VA p/ 1A</t>
  </si>
  <si>
    <t>Nome da carga, VA, R, X, Z, FP carga</t>
  </si>
  <si>
    <t>Classe, Erro, % de teste</t>
  </si>
  <si>
    <t>X 60Hz</t>
  </si>
  <si>
    <t>Z 60Hz</t>
  </si>
  <si>
    <t>X 50Hz</t>
  </si>
  <si>
    <t>Z 50Hz</t>
  </si>
  <si>
    <t>X 5A 60Hz</t>
  </si>
  <si>
    <t>Z 5A 60Hz</t>
  </si>
  <si>
    <t>X 1A 60Hz</t>
  </si>
  <si>
    <t>Z 1A 60Hz</t>
  </si>
  <si>
    <t>V p/ 20xIs</t>
  </si>
  <si>
    <t>Carga</t>
  </si>
  <si>
    <t>Fator térmico aqui precisa ser entendido como corrente primária limite de exatidão nominal (relacionado a erro de relação), já que a corrente térmica contínua nominal (FT mesmo) diz respeito a elevação de temperatura</t>
  </si>
  <si>
    <t>MESMAS CARGAS COM FP 0.9 PARA 1A - MUDA VA E MANTÉM Z</t>
  </si>
  <si>
    <t>MESMAS CARGAS PARA 1A - MANTÉM V E MUDA VA E Z</t>
  </si>
  <si>
    <t>Carga 5A</t>
  </si>
  <si>
    <t>Carga 1A</t>
  </si>
  <si>
    <t>NBR 6856:2015</t>
  </si>
  <si>
    <t>VA, FP, Z, R, X para 5A</t>
  </si>
  <si>
    <t>VA, FP, Z, R, X para 1A</t>
  </si>
  <si>
    <t>0.6S</t>
  </si>
  <si>
    <t>Paralelogramos das Figuras 3, 4 e 5 da norma</t>
  </si>
  <si>
    <t>Classe, Erro, β</t>
  </si>
  <si>
    <t>Nome da carga, VA, R, X, Z, FP carga, Tensão, Classe (nome pela C57.12.10-2017)</t>
  </si>
  <si>
    <t>VA padrões para TCs de Medição e Proteção</t>
  </si>
  <si>
    <t>β</t>
  </si>
  <si>
    <t>100% x Fator térmico</t>
  </si>
  <si>
    <t>Classe, Erro, β, FP teste</t>
  </si>
  <si>
    <t>Ensaia limites da faixa de carga</t>
  </si>
  <si>
    <t>NBR 6856:1993</t>
  </si>
  <si>
    <t>Paralelogramos das Figuras do Anexo B da norma</t>
  </si>
  <si>
    <t>Paralelogramo já faz?</t>
  </si>
  <si>
    <t>Tensão são os valores acima para 20x5A</t>
  </si>
  <si>
    <t>Medição:</t>
  </si>
  <si>
    <t>Proteção:</t>
  </si>
  <si>
    <t>Explo. entrada da classes:</t>
  </si>
  <si>
    <t>B</t>
  </si>
  <si>
    <t>Como encontrar VA a partir da tensão para 1A, a partir da tensão especificada:</t>
  </si>
  <si>
    <t>Tensão:</t>
  </si>
  <si>
    <t>10B</t>
  </si>
  <si>
    <t>R:</t>
  </si>
  <si>
    <t>X:</t>
  </si>
  <si>
    <t>TC especificado para 1A:</t>
  </si>
  <si>
    <t>Ω = 100/20/1</t>
  </si>
  <si>
    <t>VA:</t>
  </si>
  <si>
    <r>
      <t>= Z / 1</t>
    </r>
    <r>
      <rPr>
        <vertAlign val="superscript"/>
        <sz val="11"/>
        <color theme="1"/>
        <rFont val="Arial Narrow"/>
        <family val="2"/>
      </rPr>
      <t>2</t>
    </r>
  </si>
  <si>
    <t>Cleber A.   22/08/2023</t>
  </si>
  <si>
    <r>
      <rPr>
        <b/>
        <sz val="11"/>
        <color theme="1"/>
        <rFont val="Arial Narrow"/>
        <family val="2"/>
      </rPr>
      <t>Exemplo</t>
    </r>
    <r>
      <rPr>
        <sz val="11"/>
        <color theme="1"/>
        <rFont val="Arial Narrow"/>
        <family val="2"/>
      </rPr>
      <t xml:space="preserve"> de um TC 3000:5A fabricado na máquina</t>
    </r>
  </si>
  <si>
    <t>Calcular diâmetro interno do núcleo NU Øi (equação já dada) e diâmetros internos de cada camada, considerando a espessura / N</t>
  </si>
  <si>
    <t>NU Øe = diâmetro externo do núcleo: se TC definido pelo diâmetro externo = TC Øe - 2 x E / pelo interno = TC Øi + 2 x E + 2 x ENU</t>
  </si>
  <si>
    <t>Øi n</t>
  </si>
  <si>
    <t>Camada n</t>
  </si>
  <si>
    <t>---</t>
  </si>
  <si>
    <t>Achar o máximo de espiras que cabe em cada camada Tmax = Per / [ (DF+0.6) x QF ]</t>
  </si>
  <si>
    <t>Tn max</t>
  </si>
  <si>
    <t>Per n</t>
  </si>
  <si>
    <t>X1=200</t>
  </si>
  <si>
    <t>X2=240</t>
  </si>
  <si>
    <t>X3=60</t>
  </si>
  <si>
    <t>X4=100</t>
  </si>
  <si>
    <t>X2'=120</t>
  </si>
  <si>
    <t>satisfeita a condição de X ≤ Tmax. Então o novo N será = 4 (inicial) + 0 + 1 + 0 + 0 = 5</t>
  </si>
  <si>
    <t>Espiras X</t>
  </si>
  <si>
    <t>para TCs fabricados na máquina = (número de terminais - 1) + X camadas nas quais as espiras entre os terminais não cabem em 1 camada</t>
  </si>
  <si>
    <t xml:space="preserve">Quantidade de fios paralelos QF = 1, Espessura do núcleo ENU = 60mm, </t>
  </si>
  <si>
    <t>Número de espiras entre terminais X1 / X2 / X3 / X4 = 200 / 240 / 60 / 100</t>
  </si>
  <si>
    <t>Rodar numa função tipo While até que a quantidade de fios de cada camada caiba em seu perímetro interno.</t>
  </si>
  <si>
    <t>Condição inicial: Número de terminais = Tn = 5 no exemplo. Número de camadas inicial = N mínimo = Tn - 1 = 4 no exemplo.</t>
  </si>
  <si>
    <t>Para o N inicial, calcular espessura radial E conf. equação dada previamente. No exemplo = 2 + [ ( 0.1 + 1.923 ) x ( 4 ^ 0.9) ] =  9.0mm</t>
  </si>
  <si>
    <t>TC Øe = 320mm (cálculo a partir do diâmetro externo), fio de 13AWG (DF=1.923mm)</t>
  </si>
  <si>
    <t>Diâmetro interno do núcleo NU Øi pelas equações dadas anteriormente. No exemplo NU Øi = 320 - 2 x 9 - 2 x 60 = 182mm</t>
  </si>
  <si>
    <t>Diâmetro interno da camada n = NU Øi - ( E / N x 2 x n ). No exemplo: Diâmetro interno da camada 1 = Øi n1 = 182 - 9 / 4 x 2 = 177.5mm</t>
  </si>
  <si>
    <t>Na camada 1 do exemplo = 558 / (( 1.923+0.6 ) x 1 ) = 221 espiras</t>
  </si>
  <si>
    <t>Os cálculos dos dados anteriores agora são repetidos com N=5, que dará E=10.6mm, NU Øi = 179mm e Øi n1 = 179 - 10.6 / 5 x 2 = 174.8mm</t>
  </si>
  <si>
    <t>5 ...</t>
  </si>
  <si>
    <t>6...</t>
  </si>
  <si>
    <t>Redistribuir as espiras X entre terminais nas camadas: como X2 agora ocupa a 2a e</t>
  </si>
  <si>
    <t xml:space="preserve">3a camadas, X3 ocupa a 4a e X4 a 5a camada. Refazer a verificação se as espiras da </t>
  </si>
  <si>
    <t xml:space="preserve">camada cabem no perímetro interno (que já considera QF). No exemplo, agora todas as </t>
  </si>
  <si>
    <t>camadas satisfazem a condição X ≤ Tmax e, logo, encontro N final = 5</t>
  </si>
  <si>
    <t>Dimensional do TC (continuação dos dados previamente informados para encontrarmos N no novo processo, via máquina)</t>
  </si>
  <si>
    <t>Calcular o  perímetro interno de camada  multiplicando o diâmetro por ¶ (3.1416)</t>
  </si>
  <si>
    <t>Comparar Tmax de cada camada com seu X e somar 1  a cada vez que X &gt; Tn max</t>
  </si>
  <si>
    <t>pelo novo número de camadas necessário para aquele tap (X'2 = 240/2 no exemplo)</t>
  </si>
  <si>
    <t xml:space="preserve">Identificar os tapes que não atendiam a condição (só X2 no exemplo) e dividir seu X </t>
  </si>
  <si>
    <t xml:space="preserve">No exemplo X2 (240) é maior que Tmax em n2 (demanda 2 camadas). As demais terão </t>
  </si>
  <si>
    <t>Adicionado com base em outra relação</t>
  </si>
  <si>
    <t>RELAÇÕES PADRONIZADAS IEEE C57.13:2016 (TABELA 11) PARA 5A (espiras 1 A)</t>
  </si>
  <si>
    <r>
      <t xml:space="preserve">Prévia </t>
    </r>
    <r>
      <rPr>
        <sz val="11"/>
        <rFont val="Calibri"/>
        <family val="2"/>
      </rPr>
      <t>Ø</t>
    </r>
    <r>
      <rPr>
        <sz val="11"/>
        <rFont val="Arial Narrow"/>
        <family val="2"/>
      </rPr>
      <t>i camadas:</t>
    </r>
  </si>
  <si>
    <t>Camada inicial:</t>
  </si>
  <si>
    <t>mm = E</t>
  </si>
  <si>
    <t>Camadas / # bobinada:</t>
  </si>
  <si>
    <r>
      <rPr>
        <sz val="11"/>
        <rFont val="Calibri"/>
        <family val="2"/>
      </rPr>
      <t>Ø</t>
    </r>
    <r>
      <rPr>
        <sz val="11"/>
        <rFont val="Arial Narrow"/>
        <family val="2"/>
      </rPr>
      <t>i camadas corrigido:</t>
    </r>
  </si>
  <si>
    <t>Espiras possível / camada:</t>
  </si>
  <si>
    <t>Camadas / tap inicial:</t>
  </si>
  <si>
    <t>Tap a que pertence:</t>
  </si>
  <si>
    <t>Mínimo camadas / # bob~:</t>
  </si>
  <si>
    <t>Check camadas / tap:</t>
  </si>
  <si>
    <t>= total</t>
  </si>
  <si>
    <t>mm = A na altura</t>
  </si>
  <si>
    <t># isol. int / meio / ext:</t>
  </si>
  <si>
    <t>Diâmetros int / ext TC:</t>
  </si>
  <si>
    <t>Diâmetros int / ext núcleo:</t>
  </si>
  <si>
    <t>E / tap</t>
  </si>
  <si>
    <t>Camadas</t>
  </si>
  <si>
    <t>são 2 camadas de PET internas. Entre camadas / externo somente 1 camada</t>
  </si>
  <si>
    <t>Qt camadas final:</t>
  </si>
  <si>
    <t>Espaço entre espiras:</t>
  </si>
  <si>
    <r>
      <rPr>
        <sz val="11"/>
        <rFont val="Calibri"/>
        <family val="2"/>
      </rPr>
      <t>Σ</t>
    </r>
    <r>
      <rPr>
        <sz val="11"/>
        <rFont val="Arial Narrow"/>
        <family val="2"/>
      </rPr>
      <t>E/tap</t>
    </r>
  </si>
  <si>
    <t>total/tap</t>
  </si>
  <si>
    <t>Classe Proteção</t>
  </si>
  <si>
    <t>Classes Medição</t>
  </si>
  <si>
    <t>Classes</t>
  </si>
  <si>
    <r>
      <rPr>
        <b/>
        <sz val="11"/>
        <rFont val="Arial Narrow"/>
        <family val="2"/>
      </rPr>
      <t>Proteção</t>
    </r>
    <r>
      <rPr>
        <sz val="11"/>
        <rFont val="Arial Narrow"/>
        <family val="2"/>
      </rPr>
      <t xml:space="preserve"> IEEE C57.13</t>
    </r>
  </si>
  <si>
    <r>
      <rPr>
        <b/>
        <sz val="11"/>
        <rFont val="Arial Narrow"/>
        <family val="2"/>
      </rPr>
      <t>Medição</t>
    </r>
    <r>
      <rPr>
        <sz val="11"/>
        <rFont val="Arial Narrow"/>
        <family val="2"/>
      </rPr>
      <t xml:space="preserve"> IEEE C57.13</t>
    </r>
  </si>
  <si>
    <t>exemplo</t>
  </si>
  <si>
    <t>erro</t>
  </si>
  <si>
    <t>10P20</t>
  </si>
  <si>
    <t>erro _P_ALF</t>
  </si>
  <si>
    <t>2.5 ~ 30</t>
  </si>
  <si>
    <t>0.15 ~ 1.2</t>
  </si>
  <si>
    <t>0.1 ~ 5</t>
  </si>
  <si>
    <t>B-0.9</t>
  </si>
  <si>
    <t>B_Z</t>
  </si>
  <si>
    <t>erro=10% e ALF=20</t>
  </si>
  <si>
    <t>0.3 ~ 3</t>
  </si>
  <si>
    <t>1 ~ 100</t>
  </si>
  <si>
    <t>VA (difere para 5A e 1A)</t>
  </si>
  <si>
    <t>C12.5</t>
  </si>
  <si>
    <t>C_VA</t>
  </si>
  <si>
    <t>erro _B (ALF=20)</t>
  </si>
  <si>
    <t>FORMA DE APRESENTAÇÃO DAS CLASSES PARA TODAS AS NORMAS</t>
  </si>
  <si>
    <t>VA/Carga/V</t>
  </si>
  <si>
    <t>VA ou designação da carga ou Tensão</t>
  </si>
  <si>
    <t>Tipos de entradas:</t>
  </si>
  <si>
    <t>tensão</t>
  </si>
  <si>
    <t>V  VA vem de V / 20 x I</t>
  </si>
  <si>
    <t>Z = VA / I^2</t>
  </si>
  <si>
    <t>V  - VA vem de V / 20 x I</t>
  </si>
  <si>
    <t>B_Z - VA vem de Z x I^2</t>
  </si>
  <si>
    <t>min.</t>
  </si>
  <si>
    <t>G</t>
  </si>
  <si>
    <t>Limite ângulo (min) =</t>
  </si>
  <si>
    <t>Corrente (%) =</t>
  </si>
  <si>
    <t>PERCENTUAIS PARA CHECAGENS EM TODAS AS NORMAS</t>
  </si>
  <si>
    <t>%I</t>
  </si>
  <si>
    <t>NBR IEC Prot</t>
  </si>
  <si>
    <t>NBR IEC Med 3 ou 5</t>
  </si>
  <si>
    <t>NBR IEC Med 0.2S, 0.5S</t>
  </si>
  <si>
    <t>NBR IEC Med. 0.1, 0.2, 0.5, 1.0</t>
  </si>
  <si>
    <t>IEEE Std C57.13-2016 Prot</t>
  </si>
  <si>
    <t>IEEE Std C57.13-2016 Med</t>
  </si>
  <si>
    <t>NBR 6856:2015 Med</t>
  </si>
  <si>
    <t>NBR 6856:2015 Prot</t>
  </si>
  <si>
    <t>NBR 6856:1993 Med</t>
  </si>
  <si>
    <t>NBR 6856:1993 Prot</t>
  </si>
  <si>
    <t>Bm</t>
  </si>
  <si>
    <t>I (%) =</t>
  </si>
  <si>
    <t>Casos de Percentuais de Corrente:</t>
  </si>
  <si>
    <t>Erros dos casos acima</t>
  </si>
  <si>
    <t>Ângulos dos casos acima</t>
  </si>
  <si>
    <t>100% x ALF</t>
  </si>
  <si>
    <t>Erro Relação</t>
  </si>
  <si>
    <t>Erros:</t>
  </si>
  <si>
    <r>
      <t xml:space="preserve">NBR 6856:2015 </t>
    </r>
    <r>
      <rPr>
        <b/>
        <sz val="11"/>
        <rFont val="Arial Narrow"/>
        <family val="2"/>
      </rPr>
      <t>1A</t>
    </r>
  </si>
  <si>
    <r>
      <rPr>
        <b/>
        <sz val="11"/>
        <rFont val="Arial Narrow"/>
        <family val="2"/>
      </rPr>
      <t>Medição</t>
    </r>
    <r>
      <rPr>
        <sz val="11"/>
        <rFont val="Arial Narrow"/>
        <family val="2"/>
      </rPr>
      <t xml:space="preserve"> NBR 6856:1993</t>
    </r>
  </si>
  <si>
    <r>
      <rPr>
        <b/>
        <sz val="11"/>
        <rFont val="Arial Narrow"/>
        <family val="2"/>
      </rPr>
      <t>Proteção</t>
    </r>
    <r>
      <rPr>
        <sz val="11"/>
        <rFont val="Arial Narrow"/>
        <family val="2"/>
      </rPr>
      <t xml:space="preserve"> NBR 6856:1993</t>
    </r>
  </si>
  <si>
    <r>
      <t xml:space="preserve">NBR 6856:2015 </t>
    </r>
    <r>
      <rPr>
        <b/>
        <sz val="11"/>
        <rFont val="Arial Narrow"/>
        <family val="2"/>
      </rPr>
      <t>5A</t>
    </r>
  </si>
  <si>
    <t>kg total</t>
  </si>
  <si>
    <t>Como separar erro de relação de erro composto</t>
  </si>
  <si>
    <t>Falta checar equações após Bm com o programa</t>
  </si>
  <si>
    <t>Pq checagem de Io max 2A (ABNT) ou 10A (IEEE)?</t>
  </si>
  <si>
    <r>
      <t xml:space="preserve">Cos </t>
    </r>
    <r>
      <rPr>
        <sz val="11"/>
        <rFont val="Calibri"/>
        <family val="2"/>
      </rPr>
      <t>Ø</t>
    </r>
    <r>
      <rPr>
        <sz val="11"/>
        <rFont val="Arial Narrow"/>
        <family val="2"/>
      </rPr>
      <t xml:space="preserve"> (F.P.) =</t>
    </r>
  </si>
  <si>
    <t>TN-185000-223</t>
  </si>
  <si>
    <t>H1, H2, H3</t>
  </si>
  <si>
    <t>Ø bucha ≤</t>
  </si>
  <si>
    <t>Resistência total =</t>
  </si>
  <si>
    <t>Peso cobre =</t>
  </si>
  <si>
    <t>Peso silício =</t>
  </si>
  <si>
    <t>Bm (G)</t>
  </si>
  <si>
    <t>AT/cm</t>
  </si>
  <si>
    <t>Curva M4 Programa TC</t>
  </si>
  <si>
    <t>frequencia</t>
  </si>
  <si>
    <t>ABNT/ANSI</t>
  </si>
  <si>
    <t>M4</t>
  </si>
  <si>
    <t>IEC</t>
  </si>
  <si>
    <t>MUMETAL 0.30</t>
  </si>
  <si>
    <t>MUMETAL 0.20</t>
  </si>
  <si>
    <t>(NÃƒO USAR)ENPAY</t>
  </si>
  <si>
    <t>ENPAY</t>
  </si>
  <si>
    <t>WILTAN</t>
  </si>
  <si>
    <t>W / kg</t>
  </si>
  <si>
    <t>AT / cm</t>
  </si>
  <si>
    <t>Se 50Hz dividir por</t>
  </si>
  <si>
    <r>
      <t>Imp. Carga |Zb| (</t>
    </r>
    <r>
      <rPr>
        <sz val="11"/>
        <rFont val="Calibri"/>
        <family val="2"/>
      </rPr>
      <t>Ω</t>
    </r>
    <r>
      <rPr>
        <sz val="11"/>
        <rFont val="Arial Narrow"/>
        <family val="2"/>
      </rPr>
      <t>) =</t>
    </r>
  </si>
  <si>
    <t>X Carga (Ω) =</t>
  </si>
  <si>
    <t>R Carga (Ω) =</t>
  </si>
  <si>
    <t>R Total Zt (Ω) =</t>
  </si>
  <si>
    <t>Imp. Total |Zt| (Ω) =</t>
  </si>
  <si>
    <t>V Total (E2) (V) =</t>
  </si>
  <si>
    <t>Fluxo Bm (G) =</t>
  </si>
  <si>
    <t>TD-3202-6 e TD-3202-7</t>
  </si>
  <si>
    <t>Não parece ser W/kg, mas sim ângulo (graus)</t>
  </si>
  <si>
    <r>
      <t>AT/cm</t>
    </r>
    <r>
      <rPr>
        <vertAlign val="subscript"/>
        <sz val="10"/>
        <color rgb="FF000000"/>
        <rFont val="Arial Narrow"/>
        <family val="2"/>
      </rPr>
      <t xml:space="preserve"> 50Hz</t>
    </r>
  </si>
  <si>
    <r>
      <t>Ângulo</t>
    </r>
    <r>
      <rPr>
        <vertAlign val="subscript"/>
        <sz val="10"/>
        <color rgb="FF000000"/>
        <rFont val="Arial Narrow"/>
        <family val="2"/>
      </rPr>
      <t xml:space="preserve"> 50Hz</t>
    </r>
  </si>
  <si>
    <t>Ângulo fs</t>
  </si>
  <si>
    <r>
      <t xml:space="preserve">Ângulo fase </t>
    </r>
    <r>
      <rPr>
        <sz val="11"/>
        <rFont val="Symbol"/>
        <family val="1"/>
        <charset val="2"/>
      </rPr>
      <t>g</t>
    </r>
  </si>
  <si>
    <r>
      <t xml:space="preserve">Ângulo fase </t>
    </r>
    <r>
      <rPr>
        <sz val="11"/>
        <rFont val="Symbol"/>
        <family val="1"/>
        <charset val="2"/>
      </rPr>
      <t>g</t>
    </r>
    <r>
      <rPr>
        <sz val="11"/>
        <rFont val="Arial Narrow"/>
        <family val="2"/>
      </rPr>
      <t xml:space="preserve"> (º</t>
    </r>
    <r>
      <rPr>
        <sz val="11"/>
        <rFont val="Arial Narrow"/>
        <family val="2"/>
      </rPr>
      <t>) =</t>
    </r>
  </si>
  <si>
    <r>
      <t>I secundária I</t>
    </r>
    <r>
      <rPr>
        <vertAlign val="subscript"/>
        <sz val="11"/>
        <rFont val="Arial Narrow"/>
        <family val="2"/>
      </rPr>
      <t>2</t>
    </r>
    <r>
      <rPr>
        <sz val="11"/>
        <rFont val="Arial Narrow"/>
        <family val="2"/>
      </rPr>
      <t xml:space="preserve"> (A) =</t>
    </r>
  </si>
  <si>
    <r>
      <t>Corr. Mag. Io</t>
    </r>
    <r>
      <rPr>
        <vertAlign val="subscript"/>
        <sz val="11"/>
        <rFont val="Arial Narrow"/>
        <family val="2"/>
      </rPr>
      <t>2i</t>
    </r>
    <r>
      <rPr>
        <sz val="11"/>
        <rFont val="Arial Narrow"/>
        <family val="2"/>
      </rPr>
      <t xml:space="preserve"> (A) =</t>
    </r>
  </si>
  <si>
    <t>Corr. Carga Ic (A) =</t>
  </si>
  <si>
    <t>Ângulo Fase β (min) =</t>
  </si>
  <si>
    <t>Limite erro (%) =</t>
  </si>
  <si>
    <t>Erro E (%) =</t>
  </si>
  <si>
    <t>Check Erro / Ângulo =</t>
  </si>
  <si>
    <t>Checagem do erro para condição 1:</t>
  </si>
  <si>
    <t>Checagem do ângulo p/ condição 1:</t>
  </si>
  <si>
    <t>min</t>
  </si>
  <si>
    <t>=</t>
  </si>
  <si>
    <t xml:space="preserve">Sen Ø </t>
  </si>
  <si>
    <t>Curva Antiga Cleber</t>
  </si>
  <si>
    <t>Bm (T)</t>
  </si>
  <si>
    <r>
      <t>W/kg</t>
    </r>
    <r>
      <rPr>
        <vertAlign val="subscript"/>
        <sz val="10"/>
        <color rgb="FF000000"/>
        <rFont val="Arial Narrow"/>
        <family val="2"/>
      </rPr>
      <t xml:space="preserve"> 60Hz</t>
    </r>
  </si>
  <si>
    <r>
      <t>VA/kg</t>
    </r>
    <r>
      <rPr>
        <vertAlign val="subscript"/>
        <sz val="10"/>
        <color rgb="FF000000"/>
        <rFont val="Arial Narrow"/>
        <family val="2"/>
      </rPr>
      <t xml:space="preserve"> 60Hz</t>
    </r>
  </si>
  <si>
    <t>Bm inf (G)</t>
  </si>
  <si>
    <t>Bm sup (G)</t>
  </si>
  <si>
    <r>
      <rPr>
        <sz val="11"/>
        <rFont val="Symbol"/>
        <family val="1"/>
        <charset val="2"/>
      </rPr>
      <t>g</t>
    </r>
    <r>
      <rPr>
        <sz val="11"/>
        <rFont val="Arial Narrow"/>
        <family val="2"/>
      </rPr>
      <t xml:space="preserve"> p/ Bm inf</t>
    </r>
  </si>
  <si>
    <r>
      <rPr>
        <sz val="11"/>
        <rFont val="Symbol"/>
        <family val="1"/>
        <charset val="2"/>
      </rPr>
      <t>g</t>
    </r>
    <r>
      <rPr>
        <sz val="11"/>
        <rFont val="Arial Narrow"/>
        <family val="2"/>
      </rPr>
      <t xml:space="preserve"> p/ Bm sup</t>
    </r>
  </si>
  <si>
    <t>AT/cm p/ Bm inf</t>
  </si>
  <si>
    <t>AT/cm p/ Bm sup</t>
  </si>
  <si>
    <t>W/kg p/ Bm inf (T)</t>
  </si>
  <si>
    <t>W/kg p/ Bm sup (T)</t>
  </si>
  <si>
    <t>W/kg</t>
  </si>
  <si>
    <t>Falta curva de W/kg do programa</t>
  </si>
  <si>
    <t>A tabela de W/kg não é o usada no programa do TC. Está com gama e tb errado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</si>
</sst>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(* #,##0.00_);_(* \(#,##0.00\);_(* &quot;-&quot;??_);_(@_)"/>
    <numFmt numFmtId="165" formatCode="[$-409]dd\-mmm\-yy;@"/>
    <numFmt numFmtId="166" formatCode="0.0"/>
    <numFmt numFmtId="167" formatCode="_(* #,##0.000_);_(* \(#,##0.000\);_(* &quot;-&quot;??_);_(@_)"/>
    <numFmt numFmtId="168" formatCode="0.000"/>
    <numFmt numFmtId="169" formatCode="0.00000"/>
    <numFmt numFmtId="170" formatCode="0.0000"/>
  </numFmts>
  <fonts count="56">
    <font>
      <sz val="11"/>
      <color theme="1"/>
      <name val="Arial Narrow"/>
      <family val="2"/>
    </font>
    <font>
      <sz val="11"/>
      <name val="Calibri"/>
      <family val="2"/>
    </font>
    <font>
      <sz val="11"/>
      <name val="Arial Narrow"/>
      <family val="2"/>
    </font>
    <font>
      <sz val="11"/>
      <name val="Arial Narrow"/>
      <family val="2"/>
    </font>
    <font>
      <sz val="11"/>
      <name val="Arial Narrow"/>
      <family val="2"/>
    </font>
    <font>
      <sz val="11"/>
      <name val="Arial Narrow"/>
      <family val="2"/>
    </font>
    <font>
      <sz val="11"/>
      <name val="Arial Narrow"/>
      <family val="2"/>
    </font>
    <font>
      <sz val="11"/>
      <name val="Arial Narrow"/>
      <family val="2"/>
    </font>
    <font>
      <sz val="11"/>
      <name val="Arial Narrow"/>
      <family val="2"/>
    </font>
    <font>
      <sz val="11"/>
      <color theme="1"/>
      <name val="Arial Narrow"/>
      <family val="2"/>
    </font>
    <font>
      <sz val="11"/>
      <color rgb="FFFF0000"/>
      <name val="Arial Narrow"/>
      <family val="2"/>
    </font>
    <font>
      <b/>
      <sz val="11"/>
      <color theme="1"/>
      <name val="Arial Narrow"/>
      <family val="2"/>
    </font>
    <font>
      <sz val="10"/>
      <color theme="1"/>
      <name val="Arial"/>
      <family val="2"/>
    </font>
    <font>
      <b/>
      <sz val="18"/>
      <color theme="1"/>
      <name val="Arial"/>
      <family val="2"/>
    </font>
    <font>
      <b/>
      <sz val="20"/>
      <color theme="1"/>
      <name val="Arial"/>
      <family val="2"/>
    </font>
    <font>
      <sz val="10"/>
      <color theme="1"/>
      <name val="Arial Narrow"/>
      <family val="2"/>
    </font>
    <font>
      <u/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  <font>
      <b/>
      <sz val="11"/>
      <name val="Arial"/>
      <family val="2"/>
    </font>
    <font>
      <sz val="11"/>
      <color rgb="FF0000FF"/>
      <name val="Arial Narrow"/>
      <family val="2"/>
    </font>
    <font>
      <sz val="11"/>
      <name val="Arial Narrow"/>
      <family val="2"/>
    </font>
    <font>
      <i/>
      <sz val="11"/>
      <name val="Arial Narrow"/>
      <family val="2"/>
    </font>
    <font>
      <b/>
      <sz val="16"/>
      <color theme="1"/>
      <name val="Arial Narrow"/>
      <family val="2"/>
    </font>
    <font>
      <b/>
      <sz val="11"/>
      <name val="Arial Narrow"/>
      <family val="2"/>
    </font>
    <font>
      <b/>
      <i/>
      <sz val="11"/>
      <name val="Arial Narrow"/>
      <family val="2"/>
    </font>
    <font>
      <b/>
      <sz val="16"/>
      <name val="Arial Narrow"/>
      <family val="2"/>
    </font>
    <font>
      <vertAlign val="superscript"/>
      <sz val="8"/>
      <name val="Arial Narrow"/>
      <family val="2"/>
    </font>
    <font>
      <vertAlign val="superscript"/>
      <sz val="11"/>
      <name val="Arial Narrow"/>
      <family val="2"/>
    </font>
    <font>
      <sz val="8"/>
      <name val="Arial Narrow"/>
      <family val="2"/>
    </font>
    <font>
      <sz val="11"/>
      <name val="Calibri"/>
      <family val="2"/>
    </font>
    <font>
      <sz val="11"/>
      <color indexed="81"/>
      <name val="Segoe UI"/>
      <family val="2"/>
    </font>
    <font>
      <b/>
      <sz val="11"/>
      <color indexed="81"/>
      <name val="Segoe UI"/>
      <family val="2"/>
    </font>
    <font>
      <sz val="11"/>
      <name val="Arial"/>
      <family val="2"/>
    </font>
    <font>
      <b/>
      <sz val="11"/>
      <color rgb="FFFF0000"/>
      <name val="Arial Narrow"/>
      <family val="2"/>
    </font>
    <font>
      <sz val="11"/>
      <color theme="4" tint="-0.249977111117893"/>
      <name val="Arial Narrow"/>
      <family val="2"/>
    </font>
    <font>
      <sz val="11"/>
      <color rgb="FF3333FF"/>
      <name val="Arial Narrow"/>
      <family val="2"/>
    </font>
    <font>
      <sz val="14"/>
      <color theme="1"/>
      <name val="Arial Narrow"/>
      <family val="2"/>
    </font>
    <font>
      <i/>
      <sz val="11"/>
      <color theme="1"/>
      <name val="Arial Narrow"/>
      <family val="2"/>
    </font>
    <font>
      <vertAlign val="superscript"/>
      <sz val="11"/>
      <color theme="1"/>
      <name val="Arial Narrow"/>
      <family val="2"/>
    </font>
    <font>
      <b/>
      <sz val="18"/>
      <name val="Arial Narrow"/>
      <family val="2"/>
    </font>
    <font>
      <b/>
      <sz val="14"/>
      <color theme="1"/>
      <name val="Arial Narrow"/>
      <family val="2"/>
    </font>
    <font>
      <sz val="8"/>
      <color theme="1"/>
      <name val="Arial Narrow"/>
      <family val="2"/>
    </font>
    <font>
      <vertAlign val="subscript"/>
      <sz val="12"/>
      <name val="Arial Narrow"/>
      <family val="2"/>
    </font>
    <font>
      <sz val="10"/>
      <color indexed="8"/>
      <name val="Arial"/>
      <family val="2"/>
    </font>
    <font>
      <sz val="10"/>
      <color indexed="8"/>
      <name val="Arial Narrow"/>
      <family val="2"/>
    </font>
    <font>
      <vertAlign val="subscript"/>
      <sz val="10"/>
      <color rgb="FF000000"/>
      <name val="Arial Narrow"/>
      <family val="2"/>
    </font>
    <font>
      <vertAlign val="subscript"/>
      <sz val="11"/>
      <name val="Arial Narrow"/>
      <family val="2"/>
    </font>
    <font>
      <sz val="11"/>
      <color theme="0"/>
      <name val="Arial Narrow"/>
      <family val="2"/>
    </font>
    <font>
      <vertAlign val="superscript"/>
      <sz val="11"/>
      <color theme="0"/>
      <name val="Arial Narrow"/>
      <family val="2"/>
    </font>
    <font>
      <vertAlign val="superscript"/>
      <sz val="8"/>
      <color rgb="FFFF0000"/>
      <name val="Arial Narrow"/>
      <family val="2"/>
    </font>
    <font>
      <sz val="10"/>
      <color rgb="FFFF0000"/>
      <name val="Arial Narrow"/>
      <family val="2"/>
    </font>
    <font>
      <sz val="11"/>
      <color rgb="FF000000"/>
      <name val="Calibri"/>
      <family val="2"/>
    </font>
    <font>
      <sz val="11"/>
      <name val="Symbol"/>
      <family val="1"/>
      <charset val="2"/>
    </font>
    <font>
      <sz val="11"/>
      <name val="Arial Narrow"/>
      <family val="1"/>
      <charset val="2"/>
    </font>
  </fonts>
  <fills count="15">
    <fill>
      <patternFill patternType="none"/>
    </fill>
    <fill>
      <patternFill patternType="gray125"/>
    </fill>
    <fill>
      <patternFill patternType="darkVertical">
        <fgColor theme="0" tint="-0.499984740745262"/>
        <bgColor auto="1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lightVertical">
        <bgColor theme="1" tint="0.499984740745262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485"/>
        <bgColor indexed="64"/>
      </patternFill>
    </fill>
  </fills>
  <borders count="7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 diagonalUp="1">
      <left/>
      <right/>
      <top/>
      <bottom/>
      <diagonal style="double">
        <color indexed="64"/>
      </diagonal>
    </border>
    <border diagonalUp="1">
      <left/>
      <right/>
      <top style="medium">
        <color auto="1"/>
      </top>
      <bottom/>
      <diagonal style="double">
        <color indexed="64"/>
      </diagonal>
    </border>
    <border diagonalDown="1">
      <left/>
      <right/>
      <top/>
      <bottom/>
      <diagonal style="double">
        <color indexed="64"/>
      </diagonal>
    </border>
    <border diagonalDown="1">
      <left/>
      <right/>
      <top/>
      <bottom style="medium">
        <color auto="1"/>
      </bottom>
      <diagonal style="double">
        <color indexed="64"/>
      </diagonal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thin">
        <color indexed="64"/>
      </right>
      <top style="thick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ck">
        <color indexed="64"/>
      </bottom>
      <diagonal/>
    </border>
    <border>
      <left style="thin">
        <color indexed="64"/>
      </left>
      <right/>
      <top style="medium">
        <color indexed="64"/>
      </top>
      <bottom style="thick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</borders>
  <cellStyleXfs count="5">
    <xf numFmtId="0" fontId="0" fillId="0" borderId="0"/>
    <xf numFmtId="0" fontId="12" fillId="0" borderId="0"/>
    <xf numFmtId="0" fontId="17" fillId="0" borderId="0"/>
    <xf numFmtId="164" fontId="17" fillId="0" borderId="0" applyFont="0" applyFill="0" applyBorder="0" applyAlignment="0" applyProtection="0"/>
    <xf numFmtId="0" fontId="45" fillId="0" borderId="0"/>
  </cellStyleXfs>
  <cellXfs count="428">
    <xf numFmtId="0" fontId="0" fillId="0" borderId="0" xfId="0"/>
    <xf numFmtId="0" fontId="12" fillId="0" borderId="0" xfId="1" applyAlignment="1">
      <alignment horizontal="center" vertical="center"/>
    </xf>
    <xf numFmtId="0" fontId="12" fillId="0" borderId="1" xfId="1" applyBorder="1" applyAlignment="1">
      <alignment horizontal="center" vertical="center"/>
    </xf>
    <xf numFmtId="0" fontId="12" fillId="0" borderId="2" xfId="1" applyBorder="1" applyAlignment="1">
      <alignment horizontal="center" vertical="center"/>
    </xf>
    <xf numFmtId="0" fontId="12" fillId="0" borderId="3" xfId="1" applyBorder="1" applyAlignment="1">
      <alignment horizontal="center" vertical="center"/>
    </xf>
    <xf numFmtId="0" fontId="12" fillId="0" borderId="4" xfId="1" applyBorder="1" applyAlignment="1">
      <alignment horizontal="center" vertical="center"/>
    </xf>
    <xf numFmtId="0" fontId="12" fillId="0" borderId="5" xfId="1" applyBorder="1" applyAlignment="1">
      <alignment horizontal="center" vertical="center"/>
    </xf>
    <xf numFmtId="0" fontId="12" fillId="0" borderId="6" xfId="1" applyBorder="1" applyAlignment="1">
      <alignment horizontal="center" vertical="center"/>
    </xf>
    <xf numFmtId="0" fontId="12" fillId="0" borderId="7" xfId="1" applyBorder="1" applyAlignment="1">
      <alignment horizontal="center" vertical="center"/>
    </xf>
    <xf numFmtId="0" fontId="12" fillId="0" borderId="8" xfId="1" applyBorder="1" applyAlignment="1">
      <alignment horizontal="center" vertical="center"/>
    </xf>
    <xf numFmtId="0" fontId="12" fillId="0" borderId="9" xfId="1" applyBorder="1" applyAlignment="1">
      <alignment horizontal="center" vertical="center"/>
    </xf>
    <xf numFmtId="0" fontId="12" fillId="0" borderId="10" xfId="1" applyBorder="1" applyAlignment="1">
      <alignment horizontal="center" vertical="center"/>
    </xf>
    <xf numFmtId="0" fontId="12" fillId="0" borderId="11" xfId="1" applyBorder="1" applyAlignment="1">
      <alignment horizontal="center" vertical="center"/>
    </xf>
    <xf numFmtId="0" fontId="12" fillId="0" borderId="12" xfId="1" applyBorder="1" applyAlignment="1">
      <alignment horizontal="center" vertical="center"/>
    </xf>
    <xf numFmtId="0" fontId="12" fillId="0" borderId="13" xfId="1" applyBorder="1" applyAlignment="1">
      <alignment horizontal="center" vertical="center"/>
    </xf>
    <xf numFmtId="0" fontId="12" fillId="0" borderId="14" xfId="1" applyBorder="1" applyAlignment="1">
      <alignment horizontal="left" vertical="center"/>
    </xf>
    <xf numFmtId="0" fontId="12" fillId="0" borderId="15" xfId="1" applyBorder="1" applyAlignment="1">
      <alignment horizontal="center" vertical="center"/>
    </xf>
    <xf numFmtId="0" fontId="12" fillId="0" borderId="16" xfId="1" applyBorder="1" applyAlignment="1">
      <alignment horizontal="center" vertical="center"/>
    </xf>
    <xf numFmtId="0" fontId="12" fillId="0" borderId="10" xfId="1" applyBorder="1" applyAlignment="1">
      <alignment horizontal="left" vertical="center"/>
    </xf>
    <xf numFmtId="0" fontId="12" fillId="0" borderId="14" xfId="1" applyBorder="1" applyAlignment="1">
      <alignment horizontal="center" vertical="center"/>
    </xf>
    <xf numFmtId="0" fontId="12" fillId="0" borderId="15" xfId="1" applyBorder="1" applyAlignment="1">
      <alignment horizontal="left" vertical="center"/>
    </xf>
    <xf numFmtId="0" fontId="12" fillId="0" borderId="17" xfId="1" applyBorder="1" applyAlignment="1">
      <alignment horizontal="center" vertical="center"/>
    </xf>
    <xf numFmtId="0" fontId="12" fillId="0" borderId="0" xfId="1" applyAlignment="1">
      <alignment horizontal="left" vertical="center"/>
    </xf>
    <xf numFmtId="0" fontId="16" fillId="0" borderId="0" xfId="1" quotePrefix="1" applyFont="1" applyAlignment="1">
      <alignment horizontal="left" vertical="center"/>
    </xf>
    <xf numFmtId="0" fontId="12" fillId="0" borderId="18" xfId="1" applyBorder="1" applyAlignment="1">
      <alignment horizontal="center" vertical="center"/>
    </xf>
    <xf numFmtId="0" fontId="12" fillId="0" borderId="19" xfId="1" applyBorder="1" applyAlignment="1">
      <alignment horizontal="center" vertical="center"/>
    </xf>
    <xf numFmtId="2" fontId="12" fillId="0" borderId="0" xfId="1" applyNumberFormat="1" applyAlignment="1">
      <alignment vertical="center"/>
    </xf>
    <xf numFmtId="0" fontId="12" fillId="0" borderId="0" xfId="1" applyAlignment="1">
      <alignment vertical="center"/>
    </xf>
    <xf numFmtId="2" fontId="12" fillId="0" borderId="0" xfId="1" applyNumberFormat="1" applyAlignment="1">
      <alignment vertical="center" textRotation="90"/>
    </xf>
    <xf numFmtId="0" fontId="12" fillId="2" borderId="0" xfId="1" applyFill="1" applyAlignment="1">
      <alignment horizontal="center" vertical="center"/>
    </xf>
    <xf numFmtId="0" fontId="12" fillId="2" borderId="17" xfId="1" applyFill="1" applyBorder="1" applyAlignment="1">
      <alignment horizontal="center" vertical="center"/>
    </xf>
    <xf numFmtId="0" fontId="12" fillId="2" borderId="21" xfId="1" applyFill="1" applyBorder="1" applyAlignment="1">
      <alignment horizontal="center" vertical="center"/>
    </xf>
    <xf numFmtId="0" fontId="12" fillId="2" borderId="25" xfId="1" applyFill="1" applyBorder="1" applyAlignment="1">
      <alignment horizontal="center" vertical="center"/>
    </xf>
    <xf numFmtId="0" fontId="12" fillId="2" borderId="26" xfId="1" applyFill="1" applyBorder="1" applyAlignment="1">
      <alignment horizontal="center" vertical="center"/>
    </xf>
    <xf numFmtId="0" fontId="12" fillId="2" borderId="27" xfId="1" applyFill="1" applyBorder="1" applyAlignment="1">
      <alignment horizontal="center" vertical="center"/>
    </xf>
    <xf numFmtId="0" fontId="12" fillId="2" borderId="28" xfId="1" applyFill="1" applyBorder="1" applyAlignment="1">
      <alignment horizontal="center" vertical="center"/>
    </xf>
    <xf numFmtId="0" fontId="12" fillId="2" borderId="29" xfId="1" applyFill="1" applyBorder="1" applyAlignment="1">
      <alignment horizontal="center" vertical="center"/>
    </xf>
    <xf numFmtId="0" fontId="12" fillId="2" borderId="30" xfId="1" applyFill="1" applyBorder="1" applyAlignment="1">
      <alignment horizontal="center" vertical="center"/>
    </xf>
    <xf numFmtId="0" fontId="12" fillId="2" borderId="31" xfId="1" applyFill="1" applyBorder="1" applyAlignment="1">
      <alignment horizontal="center" vertical="center"/>
    </xf>
    <xf numFmtId="0" fontId="12" fillId="2" borderId="32" xfId="1" applyFill="1" applyBorder="1" applyAlignment="1">
      <alignment horizontal="center" vertical="center"/>
    </xf>
    <xf numFmtId="0" fontId="12" fillId="2" borderId="33" xfId="1" applyFill="1" applyBorder="1" applyAlignment="1">
      <alignment horizontal="center" vertical="center"/>
    </xf>
    <xf numFmtId="0" fontId="12" fillId="0" borderId="35" xfId="1" applyBorder="1" applyAlignment="1">
      <alignment horizontal="center" vertical="center"/>
    </xf>
    <xf numFmtId="0" fontId="12" fillId="0" borderId="34" xfId="1" applyBorder="1" applyAlignment="1">
      <alignment horizontal="center" vertical="center"/>
    </xf>
    <xf numFmtId="0" fontId="12" fillId="0" borderId="36" xfId="1" applyBorder="1" applyAlignment="1">
      <alignment horizontal="center" vertical="center"/>
    </xf>
    <xf numFmtId="0" fontId="12" fillId="0" borderId="37" xfId="1" applyBorder="1" applyAlignment="1">
      <alignment horizontal="center" vertical="center"/>
    </xf>
    <xf numFmtId="0" fontId="12" fillId="0" borderId="38" xfId="1" applyBorder="1" applyAlignment="1">
      <alignment horizontal="center" vertical="center"/>
    </xf>
    <xf numFmtId="0" fontId="12" fillId="0" borderId="23" xfId="1" applyBorder="1" applyAlignment="1">
      <alignment horizontal="center" vertical="center"/>
    </xf>
    <xf numFmtId="0" fontId="12" fillId="0" borderId="32" xfId="1" applyBorder="1" applyAlignment="1">
      <alignment horizontal="center" vertical="center"/>
    </xf>
    <xf numFmtId="0" fontId="12" fillId="0" borderId="29" xfId="1" applyBorder="1" applyAlignment="1">
      <alignment horizontal="center" vertical="center"/>
    </xf>
    <xf numFmtId="0" fontId="12" fillId="0" borderId="39" xfId="1" applyBorder="1" applyAlignment="1">
      <alignment horizontal="center" vertical="center"/>
    </xf>
    <xf numFmtId="0" fontId="12" fillId="0" borderId="30" xfId="1" applyBorder="1" applyAlignment="1">
      <alignment horizontal="center" vertical="center"/>
    </xf>
    <xf numFmtId="0" fontId="12" fillId="0" borderId="40" xfId="1" applyBorder="1" applyAlignment="1">
      <alignment horizontal="center" vertical="center"/>
    </xf>
    <xf numFmtId="0" fontId="9" fillId="0" borderId="13" xfId="1" applyFont="1" applyBorder="1" applyAlignment="1">
      <alignment vertical="center"/>
    </xf>
    <xf numFmtId="0" fontId="17" fillId="0" borderId="0" xfId="2"/>
    <xf numFmtId="0" fontId="18" fillId="0" borderId="20" xfId="2" applyFont="1" applyBorder="1"/>
    <xf numFmtId="0" fontId="18" fillId="0" borderId="20" xfId="2" applyFont="1" applyBorder="1" applyAlignment="1">
      <alignment horizontal="center"/>
    </xf>
    <xf numFmtId="167" fontId="18" fillId="0" borderId="20" xfId="3" applyNumberFormat="1" applyFont="1" applyFill="1" applyBorder="1" applyAlignment="1">
      <alignment horizontal="center"/>
    </xf>
    <xf numFmtId="1" fontId="18" fillId="0" borderId="20" xfId="2" applyNumberFormat="1" applyFont="1" applyBorder="1" applyAlignment="1">
      <alignment horizontal="center"/>
    </xf>
    <xf numFmtId="168" fontId="18" fillId="0" borderId="20" xfId="2" applyNumberFormat="1" applyFont="1" applyBorder="1" applyAlignment="1">
      <alignment horizontal="center"/>
    </xf>
    <xf numFmtId="0" fontId="19" fillId="3" borderId="44" xfId="2" applyFont="1" applyFill="1" applyBorder="1" applyAlignment="1">
      <alignment horizontal="center"/>
    </xf>
    <xf numFmtId="0" fontId="19" fillId="3" borderId="16" xfId="2" applyFont="1" applyFill="1" applyBorder="1" applyAlignment="1">
      <alignment horizontal="center"/>
    </xf>
    <xf numFmtId="0" fontId="19" fillId="3" borderId="45" xfId="2" applyFont="1" applyFill="1" applyBorder="1" applyAlignment="1">
      <alignment horizontal="center"/>
    </xf>
    <xf numFmtId="0" fontId="19" fillId="3" borderId="46" xfId="2" applyFont="1" applyFill="1" applyBorder="1" applyAlignment="1">
      <alignment horizontal="center"/>
    </xf>
    <xf numFmtId="0" fontId="19" fillId="3" borderId="47" xfId="2" applyFont="1" applyFill="1" applyBorder="1" applyAlignment="1">
      <alignment horizontal="center"/>
    </xf>
    <xf numFmtId="0" fontId="18" fillId="0" borderId="44" xfId="2" applyFont="1" applyBorder="1" applyAlignment="1">
      <alignment horizontal="center"/>
    </xf>
    <xf numFmtId="0" fontId="18" fillId="0" borderId="0" xfId="2" applyFont="1"/>
    <xf numFmtId="168" fontId="19" fillId="0" borderId="45" xfId="2" applyNumberFormat="1" applyFont="1" applyBorder="1" applyAlignment="1">
      <alignment horizontal="center"/>
    </xf>
    <xf numFmtId="0" fontId="18" fillId="0" borderId="46" xfId="2" applyFont="1" applyBorder="1" applyAlignment="1">
      <alignment horizontal="center"/>
    </xf>
    <xf numFmtId="166" fontId="18" fillId="0" borderId="48" xfId="2" applyNumberFormat="1" applyFont="1" applyBorder="1" applyAlignment="1">
      <alignment horizontal="center"/>
    </xf>
    <xf numFmtId="0" fontId="18" fillId="0" borderId="49" xfId="2" applyFont="1" applyBorder="1" applyAlignment="1">
      <alignment horizontal="center"/>
    </xf>
    <xf numFmtId="49" fontId="18" fillId="0" borderId="16" xfId="2" applyNumberFormat="1" applyFont="1" applyBorder="1" applyAlignment="1">
      <alignment horizontal="center"/>
    </xf>
    <xf numFmtId="168" fontId="19" fillId="0" borderId="50" xfId="2" applyNumberFormat="1" applyFont="1" applyBorder="1" applyAlignment="1">
      <alignment horizontal="center"/>
    </xf>
    <xf numFmtId="2" fontId="18" fillId="0" borderId="20" xfId="2" applyNumberFormat="1" applyFont="1" applyBorder="1" applyAlignment="1">
      <alignment horizontal="center"/>
    </xf>
    <xf numFmtId="2" fontId="18" fillId="0" borderId="51" xfId="2" applyNumberFormat="1" applyFont="1" applyBorder="1" applyAlignment="1">
      <alignment horizontal="center"/>
    </xf>
    <xf numFmtId="167" fontId="20" fillId="0" borderId="20" xfId="3" applyNumberFormat="1" applyFont="1" applyBorder="1" applyAlignment="1">
      <alignment horizontal="center"/>
    </xf>
    <xf numFmtId="0" fontId="18" fillId="0" borderId="52" xfId="2" applyFont="1" applyBorder="1" applyAlignment="1">
      <alignment horizontal="center"/>
    </xf>
    <xf numFmtId="49" fontId="18" fillId="0" borderId="55" xfId="2" applyNumberFormat="1" applyFont="1" applyBorder="1" applyAlignment="1">
      <alignment horizontal="center"/>
    </xf>
    <xf numFmtId="168" fontId="19" fillId="0" borderId="56" xfId="2" applyNumberFormat="1" applyFont="1" applyBorder="1" applyAlignment="1">
      <alignment horizontal="center"/>
    </xf>
    <xf numFmtId="167" fontId="18" fillId="0" borderId="57" xfId="3" applyNumberFormat="1" applyFont="1" applyBorder="1" applyAlignment="1">
      <alignment horizontal="center"/>
    </xf>
    <xf numFmtId="2" fontId="18" fillId="0" borderId="58" xfId="2" applyNumberFormat="1" applyFont="1" applyBorder="1" applyAlignment="1">
      <alignment horizontal="center"/>
    </xf>
    <xf numFmtId="0" fontId="18" fillId="4" borderId="20" xfId="2" applyFont="1" applyFill="1" applyBorder="1" applyAlignment="1">
      <alignment horizontal="center"/>
    </xf>
    <xf numFmtId="1" fontId="18" fillId="4" borderId="20" xfId="2" applyNumberFormat="1" applyFont="1" applyFill="1" applyBorder="1" applyAlignment="1">
      <alignment horizontal="center"/>
    </xf>
    <xf numFmtId="0" fontId="18" fillId="4" borderId="20" xfId="2" applyFont="1" applyFill="1" applyBorder="1"/>
    <xf numFmtId="0" fontId="17" fillId="0" borderId="0" xfId="2" applyAlignment="1">
      <alignment horizontal="center"/>
    </xf>
    <xf numFmtId="2" fontId="17" fillId="0" borderId="0" xfId="2" applyNumberFormat="1" applyAlignment="1">
      <alignment horizontal="center"/>
    </xf>
    <xf numFmtId="2" fontId="18" fillId="0" borderId="0" xfId="2" applyNumberFormat="1" applyFont="1" applyAlignment="1">
      <alignment horizontal="center"/>
    </xf>
    <xf numFmtId="0" fontId="22" fillId="0" borderId="0" xfId="0" applyFont="1" applyAlignment="1">
      <alignment horizontal="center" vertical="center"/>
    </xf>
    <xf numFmtId="0" fontId="22" fillId="0" borderId="0" xfId="1" applyFont="1" applyAlignment="1" applyProtection="1">
      <alignment horizontal="center" vertical="center"/>
      <protection locked="0"/>
    </xf>
    <xf numFmtId="0" fontId="9" fillId="0" borderId="0" xfId="1" applyFont="1" applyAlignment="1">
      <alignment horizontal="center" vertical="center"/>
    </xf>
    <xf numFmtId="0" fontId="10" fillId="0" borderId="0" xfId="1" applyFont="1" applyAlignment="1">
      <alignment horizontal="center" vertical="center"/>
    </xf>
    <xf numFmtId="0" fontId="9" fillId="0" borderId="0" xfId="1" quotePrefix="1" applyFont="1" applyAlignment="1">
      <alignment horizontal="center" vertical="center"/>
    </xf>
    <xf numFmtId="0" fontId="9" fillId="0" borderId="0" xfId="1" applyFont="1" applyAlignment="1">
      <alignment horizontal="left" vertical="center"/>
    </xf>
    <xf numFmtId="0" fontId="10" fillId="0" borderId="0" xfId="1" applyFont="1" applyAlignment="1">
      <alignment horizontal="left" vertical="center"/>
    </xf>
    <xf numFmtId="0" fontId="11" fillId="0" borderId="0" xfId="1" applyFont="1" applyAlignment="1">
      <alignment horizontal="left" vertical="center"/>
    </xf>
    <xf numFmtId="0" fontId="24" fillId="0" borderId="0" xfId="1" applyFont="1" applyAlignment="1">
      <alignment horizontal="centerContinuous" vertical="center"/>
    </xf>
    <xf numFmtId="0" fontId="9" fillId="0" borderId="0" xfId="1" applyFont="1" applyAlignment="1">
      <alignment horizontal="centerContinuous" vertical="center"/>
    </xf>
    <xf numFmtId="0" fontId="0" fillId="0" borderId="0" xfId="1" applyFont="1" applyAlignment="1">
      <alignment horizontal="center" vertical="center"/>
    </xf>
    <xf numFmtId="0" fontId="0" fillId="0" borderId="0" xfId="1" applyFont="1" applyAlignment="1">
      <alignment horizontal="left" vertical="center"/>
    </xf>
    <xf numFmtId="0" fontId="25" fillId="0" borderId="0" xfId="0" applyFont="1" applyAlignment="1">
      <alignment horizontal="center" vertical="center"/>
    </xf>
    <xf numFmtId="0" fontId="9" fillId="4" borderId="0" xfId="1" applyFont="1" applyFill="1" applyAlignment="1">
      <alignment horizontal="center" vertical="center"/>
    </xf>
    <xf numFmtId="0" fontId="9" fillId="0" borderId="13" xfId="1" applyFont="1" applyBorder="1" applyAlignment="1">
      <alignment horizontal="center" vertic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left"/>
    </xf>
    <xf numFmtId="0" fontId="25" fillId="0" borderId="0" xfId="0" applyFont="1" applyAlignment="1">
      <alignment horizontal="left"/>
    </xf>
    <xf numFmtId="0" fontId="22" fillId="0" borderId="0" xfId="1" applyFont="1" applyAlignment="1">
      <alignment horizontal="right"/>
    </xf>
    <xf numFmtId="0" fontId="22" fillId="0" borderId="0" xfId="1" applyFont="1" applyAlignment="1">
      <alignment horizontal="left"/>
    </xf>
    <xf numFmtId="0" fontId="26" fillId="0" borderId="0" xfId="1" applyFont="1" applyAlignment="1">
      <alignment horizontal="center"/>
    </xf>
    <xf numFmtId="0" fontId="23" fillId="0" borderId="0" xfId="1" applyFont="1" applyAlignment="1">
      <alignment horizontal="left"/>
    </xf>
    <xf numFmtId="0" fontId="22" fillId="0" borderId="0" xfId="1" applyFont="1" applyAlignment="1">
      <alignment horizontal="center"/>
    </xf>
    <xf numFmtId="0" fontId="22" fillId="0" borderId="0" xfId="0" applyFont="1"/>
    <xf numFmtId="0" fontId="22" fillId="0" borderId="0" xfId="0" applyFont="1" applyAlignment="1">
      <alignment horizontal="right"/>
    </xf>
    <xf numFmtId="0" fontId="22" fillId="5" borderId="0" xfId="0" applyFont="1" applyFill="1" applyAlignment="1" applyProtection="1">
      <alignment horizontal="center"/>
      <protection locked="0"/>
    </xf>
    <xf numFmtId="0" fontId="28" fillId="0" borderId="0" xfId="1" applyFont="1" applyAlignment="1">
      <alignment horizontal="centerContinuous"/>
    </xf>
    <xf numFmtId="0" fontId="29" fillId="0" borderId="0" xfId="1" applyFont="1" applyAlignment="1">
      <alignment horizontal="centerContinuous"/>
    </xf>
    <xf numFmtId="0" fontId="28" fillId="0" borderId="0" xfId="1" applyFont="1" applyAlignment="1">
      <alignment horizontal="center"/>
    </xf>
    <xf numFmtId="0" fontId="31" fillId="0" borderId="0" xfId="0" applyFont="1"/>
    <xf numFmtId="0" fontId="10" fillId="0" borderId="0" xfId="1" applyFont="1" applyAlignment="1">
      <alignment horizontal="left"/>
    </xf>
    <xf numFmtId="0" fontId="9" fillId="0" borderId="40" xfId="1" applyFont="1" applyBorder="1" applyAlignment="1">
      <alignment horizontal="center" vertical="center"/>
    </xf>
    <xf numFmtId="0" fontId="9" fillId="0" borderId="10" xfId="1" applyFont="1" applyBorder="1" applyAlignment="1">
      <alignment horizontal="center" vertical="center"/>
    </xf>
    <xf numFmtId="0" fontId="9" fillId="0" borderId="2" xfId="1" applyFont="1" applyBorder="1" applyAlignment="1">
      <alignment horizontal="center" vertical="center"/>
    </xf>
    <xf numFmtId="0" fontId="9" fillId="0" borderId="22" xfId="1" applyFont="1" applyBorder="1" applyAlignment="1">
      <alignment horizontal="center" vertical="center"/>
    </xf>
    <xf numFmtId="0" fontId="9" fillId="0" borderId="23" xfId="1" applyFont="1" applyBorder="1" applyAlignment="1">
      <alignment horizontal="center" vertical="center"/>
    </xf>
    <xf numFmtId="0" fontId="9" fillId="0" borderId="24" xfId="1" applyFont="1" applyBorder="1" applyAlignment="1">
      <alignment horizontal="center" vertical="center"/>
    </xf>
    <xf numFmtId="0" fontId="9" fillId="0" borderId="59" xfId="1" applyFont="1" applyBorder="1" applyAlignment="1">
      <alignment horizontal="center" vertical="center"/>
    </xf>
    <xf numFmtId="0" fontId="9" fillId="0" borderId="29" xfId="1" applyFont="1" applyBorder="1" applyAlignment="1">
      <alignment horizontal="center" vertical="center"/>
    </xf>
    <xf numFmtId="0" fontId="9" fillId="0" borderId="30" xfId="1" applyFont="1" applyBorder="1" applyAlignment="1">
      <alignment horizontal="center" vertical="center"/>
    </xf>
    <xf numFmtId="0" fontId="9" fillId="0" borderId="17" xfId="1" applyFont="1" applyBorder="1" applyAlignment="1">
      <alignment horizontal="center" vertical="center"/>
    </xf>
    <xf numFmtId="0" fontId="9" fillId="0" borderId="31" xfId="1" applyFont="1" applyBorder="1" applyAlignment="1">
      <alignment horizontal="center" vertical="center"/>
    </xf>
    <xf numFmtId="0" fontId="9" fillId="0" borderId="32" xfId="1" applyFont="1" applyBorder="1" applyAlignment="1">
      <alignment horizontal="center" vertical="center"/>
    </xf>
    <xf numFmtId="0" fontId="9" fillId="0" borderId="33" xfId="1" applyFont="1" applyBorder="1" applyAlignment="1">
      <alignment horizontal="center" vertical="center"/>
    </xf>
    <xf numFmtId="0" fontId="22" fillId="0" borderId="0" xfId="0" applyFont="1" applyAlignment="1">
      <alignment horizontal="centerContinuous"/>
    </xf>
    <xf numFmtId="0" fontId="22" fillId="0" borderId="13" xfId="0" applyFont="1" applyBorder="1"/>
    <xf numFmtId="0" fontId="23" fillId="0" borderId="0" xfId="1" applyFont="1" applyAlignment="1">
      <alignment horizontal="center"/>
    </xf>
    <xf numFmtId="0" fontId="22" fillId="0" borderId="30" xfId="0" applyFont="1" applyBorder="1"/>
    <xf numFmtId="0" fontId="22" fillId="0" borderId="14" xfId="0" applyFont="1" applyBorder="1" applyAlignment="1">
      <alignment horizontal="centerContinuous"/>
    </xf>
    <xf numFmtId="0" fontId="22" fillId="0" borderId="16" xfId="0" applyFont="1" applyBorder="1" applyAlignment="1">
      <alignment horizontal="centerContinuous"/>
    </xf>
    <xf numFmtId="0" fontId="22" fillId="0" borderId="15" xfId="0" applyFont="1" applyBorder="1" applyAlignment="1">
      <alignment horizontal="centerContinuous"/>
    </xf>
    <xf numFmtId="0" fontId="22" fillId="5" borderId="14" xfId="0" applyFont="1" applyFill="1" applyBorder="1" applyAlignment="1">
      <alignment horizontal="centerContinuous"/>
    </xf>
    <xf numFmtId="0" fontId="22" fillId="5" borderId="16" xfId="0" applyFont="1" applyFill="1" applyBorder="1" applyAlignment="1">
      <alignment horizontal="centerContinuous"/>
    </xf>
    <xf numFmtId="0" fontId="22" fillId="5" borderId="15" xfId="0" applyFont="1" applyFill="1" applyBorder="1" applyAlignment="1">
      <alignment horizontal="centerContinuous"/>
    </xf>
    <xf numFmtId="168" fontId="22" fillId="0" borderId="0" xfId="0" applyNumberFormat="1" applyFont="1" applyAlignment="1">
      <alignment horizontal="center"/>
    </xf>
    <xf numFmtId="169" fontId="9" fillId="0" borderId="0" xfId="1" applyNumberFormat="1" applyFont="1" applyAlignment="1">
      <alignment horizontal="center" vertical="center"/>
    </xf>
    <xf numFmtId="0" fontId="9" fillId="2" borderId="62" xfId="1" applyFont="1" applyFill="1" applyBorder="1" applyAlignment="1">
      <alignment horizontal="center" vertical="center"/>
    </xf>
    <xf numFmtId="0" fontId="9" fillId="2" borderId="63" xfId="1" applyFont="1" applyFill="1" applyBorder="1" applyAlignment="1">
      <alignment horizontal="center" vertical="center"/>
    </xf>
    <xf numFmtId="0" fontId="9" fillId="2" borderId="64" xfId="1" applyFont="1" applyFill="1" applyBorder="1" applyAlignment="1">
      <alignment horizontal="center" vertical="center"/>
    </xf>
    <xf numFmtId="0" fontId="9" fillId="2" borderId="65" xfId="1" applyFont="1" applyFill="1" applyBorder="1" applyAlignment="1">
      <alignment horizontal="center" vertical="center"/>
    </xf>
    <xf numFmtId="0" fontId="9" fillId="2" borderId="66" xfId="1" applyFont="1" applyFill="1" applyBorder="1" applyAlignment="1">
      <alignment horizontal="center" vertical="center"/>
    </xf>
    <xf numFmtId="0" fontId="9" fillId="2" borderId="67" xfId="1" applyFont="1" applyFill="1" applyBorder="1" applyAlignment="1">
      <alignment horizontal="center" vertical="center"/>
    </xf>
    <xf numFmtId="0" fontId="10" fillId="0" borderId="0" xfId="0" applyFont="1"/>
    <xf numFmtId="0" fontId="25" fillId="0" borderId="0" xfId="0" applyFont="1" applyAlignment="1">
      <alignment horizontal="center"/>
    </xf>
    <xf numFmtId="0" fontId="22" fillId="0" borderId="0" xfId="0" quotePrefix="1" applyFont="1" applyAlignment="1">
      <alignment horizontal="center"/>
    </xf>
    <xf numFmtId="0" fontId="30" fillId="0" borderId="0" xfId="0" applyFont="1"/>
    <xf numFmtId="0" fontId="30" fillId="0" borderId="0" xfId="0" applyFont="1" applyAlignment="1">
      <alignment horizontal="center"/>
    </xf>
    <xf numFmtId="0" fontId="34" fillId="0" borderId="0" xfId="0" applyFont="1"/>
    <xf numFmtId="0" fontId="0" fillId="0" borderId="0" xfId="1" applyFont="1" applyAlignment="1">
      <alignment horizontal="right" vertical="center"/>
    </xf>
    <xf numFmtId="0" fontId="9" fillId="0" borderId="7" xfId="1" applyFont="1" applyBorder="1" applyAlignment="1">
      <alignment horizontal="center" vertical="center"/>
    </xf>
    <xf numFmtId="0" fontId="22" fillId="0" borderId="7" xfId="0" applyFont="1" applyBorder="1"/>
    <xf numFmtId="0" fontId="22" fillId="0" borderId="8" xfId="0" applyFont="1" applyBorder="1"/>
    <xf numFmtId="0" fontId="22" fillId="0" borderId="10" xfId="0" applyFont="1" applyBorder="1"/>
    <xf numFmtId="0" fontId="22" fillId="0" borderId="11" xfId="0" applyFont="1" applyBorder="1"/>
    <xf numFmtId="0" fontId="25" fillId="0" borderId="0" xfId="0" applyFont="1" applyAlignment="1">
      <alignment horizontal="right"/>
    </xf>
    <xf numFmtId="0" fontId="22" fillId="0" borderId="7" xfId="0" applyFont="1" applyBorder="1" applyAlignment="1">
      <alignment horizontal="right"/>
    </xf>
    <xf numFmtId="0" fontId="35" fillId="0" borderId="0" xfId="1" applyFont="1" applyAlignment="1">
      <alignment horizontal="left" vertical="center"/>
    </xf>
    <xf numFmtId="0" fontId="0" fillId="0" borderId="0" xfId="1" applyFont="1" applyAlignment="1">
      <alignment vertical="center"/>
    </xf>
    <xf numFmtId="0" fontId="9" fillId="0" borderId="0" xfId="1" applyFont="1" applyAlignment="1">
      <alignment vertical="center"/>
    </xf>
    <xf numFmtId="0" fontId="22" fillId="0" borderId="0" xfId="1" applyFont="1" applyAlignment="1">
      <alignment horizontal="left" vertical="center"/>
    </xf>
    <xf numFmtId="0" fontId="11" fillId="0" borderId="0" xfId="1" applyFont="1" applyAlignment="1">
      <alignment vertical="center"/>
    </xf>
    <xf numFmtId="0" fontId="36" fillId="0" borderId="0" xfId="1" applyFont="1" applyAlignment="1">
      <alignment vertical="center"/>
    </xf>
    <xf numFmtId="0" fontId="36" fillId="0" borderId="0" xfId="1" applyFont="1" applyAlignment="1">
      <alignment horizontal="center" vertical="center"/>
    </xf>
    <xf numFmtId="0" fontId="36" fillId="0" borderId="0" xfId="1" applyFont="1" applyAlignment="1">
      <alignment horizontal="left" vertical="center"/>
    </xf>
    <xf numFmtId="0" fontId="8" fillId="0" borderId="0" xfId="0" applyFont="1"/>
    <xf numFmtId="0" fontId="37" fillId="0" borderId="0" xfId="0" applyFont="1" applyAlignment="1">
      <alignment horizontal="centerContinuous"/>
    </xf>
    <xf numFmtId="169" fontId="22" fillId="0" borderId="0" xfId="0" applyNumberFormat="1" applyFont="1" applyAlignment="1">
      <alignment horizontal="centerContinuous"/>
    </xf>
    <xf numFmtId="0" fontId="8" fillId="0" borderId="0" xfId="0" applyFont="1" applyAlignment="1">
      <alignment horizontal="right"/>
    </xf>
    <xf numFmtId="11" fontId="22" fillId="0" borderId="0" xfId="0" applyNumberFormat="1" applyFont="1" applyAlignment="1">
      <alignment horizontal="centerContinuous"/>
    </xf>
    <xf numFmtId="0" fontId="8" fillId="0" borderId="0" xfId="0" applyFont="1" applyAlignment="1">
      <alignment horizontal="centerContinuous"/>
    </xf>
    <xf numFmtId="0" fontId="8" fillId="6" borderId="0" xfId="0" applyFont="1" applyFill="1"/>
    <xf numFmtId="0" fontId="22" fillId="6" borderId="0" xfId="0" applyFont="1" applyFill="1"/>
    <xf numFmtId="0" fontId="8" fillId="6" borderId="0" xfId="0" applyFont="1" applyFill="1" applyAlignment="1">
      <alignment horizontal="right"/>
    </xf>
    <xf numFmtId="0" fontId="8" fillId="6" borderId="0" xfId="0" applyFont="1" applyFill="1" applyAlignment="1">
      <alignment horizontal="centerContinuous"/>
    </xf>
    <xf numFmtId="0" fontId="22" fillId="6" borderId="0" xfId="0" applyFont="1" applyFill="1" applyAlignment="1">
      <alignment horizontal="centerContinuous"/>
    </xf>
    <xf numFmtId="0" fontId="10" fillId="6" borderId="0" xfId="0" applyFont="1" applyFill="1" applyAlignment="1">
      <alignment horizontal="centerContinuous"/>
    </xf>
    <xf numFmtId="0" fontId="25" fillId="0" borderId="0" xfId="0" applyFont="1"/>
    <xf numFmtId="0" fontId="28" fillId="0" borderId="0" xfId="1" applyFont="1" applyAlignment="1">
      <alignment horizontal="right"/>
    </xf>
    <xf numFmtId="0" fontId="28" fillId="0" borderId="0" xfId="1" applyFont="1" applyAlignment="1">
      <alignment horizontal="left"/>
    </xf>
    <xf numFmtId="166" fontId="8" fillId="0" borderId="0" xfId="0" applyNumberFormat="1" applyFont="1" applyAlignment="1">
      <alignment horizontal="centerContinuous"/>
    </xf>
    <xf numFmtId="0" fontId="8" fillId="0" borderId="0" xfId="1" applyFont="1" applyAlignment="1">
      <alignment horizontal="left" vertical="center"/>
    </xf>
    <xf numFmtId="0" fontId="0" fillId="4" borderId="0" xfId="1" applyFont="1" applyFill="1" applyAlignment="1">
      <alignment horizontal="left" vertical="center"/>
    </xf>
    <xf numFmtId="0" fontId="8" fillId="0" borderId="0" xfId="1" applyFont="1" applyAlignment="1">
      <alignment vertical="center"/>
    </xf>
    <xf numFmtId="0" fontId="8" fillId="0" borderId="0" xfId="1" applyFont="1" applyAlignment="1">
      <alignment horizontal="center" vertical="center"/>
    </xf>
    <xf numFmtId="0" fontId="7" fillId="0" borderId="0" xfId="0" applyFont="1"/>
    <xf numFmtId="0" fontId="7" fillId="0" borderId="0" xfId="1" applyFont="1" applyAlignment="1">
      <alignment horizontal="left" vertical="center"/>
    </xf>
    <xf numFmtId="0" fontId="0" fillId="7" borderId="0" xfId="0" applyFill="1"/>
    <xf numFmtId="0" fontId="0" fillId="9" borderId="0" xfId="0" applyFill="1"/>
    <xf numFmtId="0" fontId="0" fillId="10" borderId="0" xfId="0" applyFill="1"/>
    <xf numFmtId="0" fontId="11" fillId="0" borderId="0" xfId="0" applyFont="1"/>
    <xf numFmtId="0" fontId="0" fillId="11" borderId="0" xfId="0" applyFill="1"/>
    <xf numFmtId="0" fontId="0" fillId="10" borderId="13" xfId="0" applyFill="1" applyBorder="1"/>
    <xf numFmtId="0" fontId="0" fillId="0" borderId="13" xfId="0" applyBorder="1"/>
    <xf numFmtId="0" fontId="0" fillId="11" borderId="13" xfId="0" applyFill="1" applyBorder="1"/>
    <xf numFmtId="0" fontId="0" fillId="7" borderId="13" xfId="0" applyFill="1" applyBorder="1"/>
    <xf numFmtId="0" fontId="0" fillId="9" borderId="13" xfId="0" applyFill="1" applyBorder="1"/>
    <xf numFmtId="0" fontId="0" fillId="0" borderId="13" xfId="1" applyFont="1" applyBorder="1" applyAlignment="1">
      <alignment horizontal="center" vertical="center"/>
    </xf>
    <xf numFmtId="0" fontId="0" fillId="0" borderId="10" xfId="0" applyBorder="1"/>
    <xf numFmtId="0" fontId="0" fillId="9" borderId="10" xfId="0" applyFill="1" applyBorder="1"/>
    <xf numFmtId="0" fontId="0" fillId="7" borderId="10" xfId="0" applyFill="1" applyBorder="1"/>
    <xf numFmtId="0" fontId="0" fillId="11" borderId="10" xfId="0" applyFill="1" applyBorder="1"/>
    <xf numFmtId="0" fontId="39" fillId="0" borderId="0" xfId="0" applyFont="1"/>
    <xf numFmtId="0" fontId="39" fillId="0" borderId="0" xfId="1" applyFont="1" applyAlignment="1">
      <alignment horizontal="left" vertical="center"/>
    </xf>
    <xf numFmtId="0" fontId="23" fillId="0" borderId="0" xfId="0" applyFont="1"/>
    <xf numFmtId="0" fontId="39" fillId="0" borderId="0" xfId="0" quotePrefix="1" applyFont="1"/>
    <xf numFmtId="0" fontId="9" fillId="0" borderId="0" xfId="1" applyFont="1" applyAlignment="1">
      <alignment horizontal="right" vertical="center"/>
    </xf>
    <xf numFmtId="0" fontId="0" fillId="0" borderId="0" xfId="0" applyAlignment="1">
      <alignment horizontal="center"/>
    </xf>
    <xf numFmtId="0" fontId="0" fillId="0" borderId="20" xfId="0" applyBorder="1" applyAlignment="1">
      <alignment horizontal="center"/>
    </xf>
    <xf numFmtId="0" fontId="0" fillId="0" borderId="16" xfId="0" applyBorder="1" applyAlignment="1">
      <alignment horizontal="centerContinuous"/>
    </xf>
    <xf numFmtId="0" fontId="0" fillId="0" borderId="15" xfId="0" applyBorder="1" applyAlignment="1">
      <alignment horizontal="centerContinuous"/>
    </xf>
    <xf numFmtId="0" fontId="0" fillId="0" borderId="16" xfId="0" applyBorder="1" applyAlignment="1">
      <alignment horizontal="center"/>
    </xf>
    <xf numFmtId="0" fontId="11" fillId="0" borderId="20" xfId="0" applyFont="1" applyBorder="1" applyAlignment="1">
      <alignment horizontal="center"/>
    </xf>
    <xf numFmtId="0" fontId="0" fillId="0" borderId="0" xfId="0" quotePrefix="1"/>
    <xf numFmtId="0" fontId="0" fillId="0" borderId="0" xfId="0" quotePrefix="1" applyAlignment="1">
      <alignment horizontal="center"/>
    </xf>
    <xf numFmtId="9" fontId="0" fillId="0" borderId="20" xfId="0" applyNumberFormat="1" applyBorder="1" applyAlignment="1">
      <alignment horizontal="center"/>
    </xf>
    <xf numFmtId="9" fontId="0" fillId="0" borderId="20" xfId="0" quotePrefix="1" applyNumberFormat="1" applyBorder="1" applyAlignment="1">
      <alignment horizontal="center"/>
    </xf>
    <xf numFmtId="9" fontId="0" fillId="0" borderId="16" xfId="0" quotePrefix="1" applyNumberFormat="1" applyBorder="1" applyAlignment="1">
      <alignment horizontal="center"/>
    </xf>
    <xf numFmtId="9" fontId="0" fillId="0" borderId="16" xfId="0" applyNumberFormat="1" applyBorder="1" applyAlignment="1">
      <alignment horizontal="center"/>
    </xf>
    <xf numFmtId="0" fontId="0" fillId="0" borderId="69" xfId="0" applyBorder="1" applyAlignment="1">
      <alignment horizontal="center"/>
    </xf>
    <xf numFmtId="9" fontId="0" fillId="0" borderId="69" xfId="0" quotePrefix="1" applyNumberFormat="1" applyBorder="1" applyAlignment="1">
      <alignment horizontal="center"/>
    </xf>
    <xf numFmtId="0" fontId="0" fillId="0" borderId="0" xfId="0" applyAlignment="1">
      <alignment horizontal="left"/>
    </xf>
    <xf numFmtId="0" fontId="41" fillId="0" borderId="0" xfId="1" applyFont="1" applyAlignment="1">
      <alignment horizontal="left"/>
    </xf>
    <xf numFmtId="0" fontId="0" fillId="0" borderId="69" xfId="0" quotePrefix="1" applyBorder="1" applyAlignment="1">
      <alignment horizontal="center"/>
    </xf>
    <xf numFmtId="0" fontId="9" fillId="0" borderId="20" xfId="1" applyFont="1" applyBorder="1" applyAlignment="1">
      <alignment horizontal="center" vertical="center"/>
    </xf>
    <xf numFmtId="0" fontId="11" fillId="0" borderId="20" xfId="1" applyFont="1" applyBorder="1" applyAlignment="1">
      <alignment horizontal="center" vertical="center"/>
    </xf>
    <xf numFmtId="0" fontId="39" fillId="0" borderId="20" xfId="0" applyFont="1" applyBorder="1" applyAlignment="1">
      <alignment horizontal="center"/>
    </xf>
    <xf numFmtId="0" fontId="39" fillId="0" borderId="20" xfId="1" applyFont="1" applyBorder="1" applyAlignment="1">
      <alignment horizontal="center" vertical="center"/>
    </xf>
    <xf numFmtId="0" fontId="0" fillId="0" borderId="68" xfId="0" applyBorder="1" applyAlignment="1">
      <alignment horizontal="centerContinuous"/>
    </xf>
    <xf numFmtId="0" fontId="0" fillId="0" borderId="20" xfId="1" applyFont="1" applyBorder="1" applyAlignment="1">
      <alignment horizontal="center" vertical="center"/>
    </xf>
    <xf numFmtId="0" fontId="0" fillId="12" borderId="14" xfId="0" applyFill="1" applyBorder="1" applyAlignment="1">
      <alignment horizontal="centerContinuous"/>
    </xf>
    <xf numFmtId="0" fontId="0" fillId="12" borderId="16" xfId="0" applyFill="1" applyBorder="1" applyAlignment="1">
      <alignment horizontal="centerContinuous"/>
    </xf>
    <xf numFmtId="0" fontId="0" fillId="12" borderId="20" xfId="0" applyFill="1" applyBorder="1" applyAlignment="1">
      <alignment horizontal="center"/>
    </xf>
    <xf numFmtId="0" fontId="42" fillId="0" borderId="0" xfId="0" applyFont="1"/>
    <xf numFmtId="0" fontId="42" fillId="0" borderId="0" xfId="0" applyFont="1" applyAlignment="1">
      <alignment horizontal="right"/>
    </xf>
    <xf numFmtId="0" fontId="42" fillId="0" borderId="0" xfId="0" applyFont="1" applyAlignment="1">
      <alignment horizontal="left"/>
    </xf>
    <xf numFmtId="0" fontId="0" fillId="0" borderId="0" xfId="0" applyAlignment="1">
      <alignment horizontal="right"/>
    </xf>
    <xf numFmtId="0" fontId="42" fillId="0" borderId="0" xfId="0" applyFont="1" applyAlignment="1">
      <alignment horizontal="centerContinuous"/>
    </xf>
    <xf numFmtId="0" fontId="42" fillId="0" borderId="0" xfId="0" applyFont="1" applyAlignment="1">
      <alignment horizontal="center"/>
    </xf>
    <xf numFmtId="0" fontId="12" fillId="0" borderId="0" xfId="1"/>
    <xf numFmtId="166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43" fillId="0" borderId="0" xfId="0" applyFont="1" applyAlignment="1">
      <alignment horizontal="center" vertical="center"/>
    </xf>
    <xf numFmtId="0" fontId="6" fillId="0" borderId="0" xfId="0" applyFont="1" applyAlignment="1">
      <alignment horizontal="right"/>
    </xf>
    <xf numFmtId="0" fontId="9" fillId="5" borderId="0" xfId="1" applyFont="1" applyFill="1" applyAlignment="1">
      <alignment horizontal="center" vertical="center"/>
    </xf>
    <xf numFmtId="0" fontId="0" fillId="5" borderId="0" xfId="1" applyFont="1" applyFill="1" applyAlignment="1">
      <alignment horizontal="center" vertical="center"/>
    </xf>
    <xf numFmtId="0" fontId="9" fillId="5" borderId="0" xfId="1" applyFont="1" applyFill="1" applyAlignment="1">
      <alignment horizontal="left" vertical="center"/>
    </xf>
    <xf numFmtId="0" fontId="6" fillId="0" borderId="0" xfId="0" applyFont="1"/>
    <xf numFmtId="0" fontId="6" fillId="0" borderId="0" xfId="0" applyFont="1" applyAlignment="1">
      <alignment horizontal="left"/>
    </xf>
    <xf numFmtId="0" fontId="10" fillId="0" borderId="0" xfId="0" applyFont="1" applyAlignment="1">
      <alignment horizontal="center"/>
    </xf>
    <xf numFmtId="0" fontId="6" fillId="0" borderId="0" xfId="0" quotePrefix="1" applyFont="1"/>
    <xf numFmtId="0" fontId="6" fillId="0" borderId="0" xfId="0" applyFont="1" applyAlignment="1">
      <alignment horizontal="centerContinuous"/>
    </xf>
    <xf numFmtId="0" fontId="6" fillId="0" borderId="0" xfId="0" applyFont="1" applyAlignment="1">
      <alignment horizontal="centerContinuous" vertical="center"/>
    </xf>
    <xf numFmtId="0" fontId="6" fillId="0" borderId="0" xfId="1" applyFont="1" applyAlignment="1">
      <alignment horizontal="left"/>
    </xf>
    <xf numFmtId="0" fontId="0" fillId="0" borderId="70" xfId="0" applyBorder="1" applyAlignment="1">
      <alignment horizontal="center"/>
    </xf>
    <xf numFmtId="0" fontId="11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71" xfId="0" applyBorder="1" applyAlignment="1">
      <alignment horizontal="center"/>
    </xf>
    <xf numFmtId="0" fontId="0" fillId="0" borderId="72" xfId="0" applyBorder="1" applyAlignment="1">
      <alignment horizontal="center"/>
    </xf>
    <xf numFmtId="0" fontId="0" fillId="0" borderId="73" xfId="0" applyBorder="1" applyAlignment="1">
      <alignment horizontal="center"/>
    </xf>
    <xf numFmtId="0" fontId="0" fillId="5" borderId="70" xfId="0" applyFill="1" applyBorder="1" applyAlignment="1">
      <alignment horizontal="center"/>
    </xf>
    <xf numFmtId="0" fontId="0" fillId="5" borderId="71" xfId="0" applyFill="1" applyBorder="1" applyAlignment="1">
      <alignment horizontal="center"/>
    </xf>
    <xf numFmtId="0" fontId="0" fillId="5" borderId="72" xfId="0" applyFill="1" applyBorder="1" applyAlignment="1">
      <alignment horizontal="center"/>
    </xf>
    <xf numFmtId="0" fontId="0" fillId="5" borderId="73" xfId="0" applyFill="1" applyBorder="1" applyAlignment="1">
      <alignment horizontal="center"/>
    </xf>
    <xf numFmtId="0" fontId="6" fillId="0" borderId="0" xfId="0" quotePrefix="1" applyFont="1" applyAlignment="1">
      <alignment horizontal="center"/>
    </xf>
    <xf numFmtId="0" fontId="28" fillId="0" borderId="0" xfId="0" applyFont="1"/>
    <xf numFmtId="0" fontId="6" fillId="0" borderId="0" xfId="0" applyFont="1" applyAlignment="1" applyProtection="1">
      <alignment horizontal="left"/>
      <protection locked="0"/>
    </xf>
    <xf numFmtId="0" fontId="0" fillId="0" borderId="10" xfId="0" applyBorder="1" applyAlignment="1">
      <alignment horizontal="center"/>
    </xf>
    <xf numFmtId="0" fontId="0" fillId="0" borderId="68" xfId="0" applyBorder="1" applyAlignment="1">
      <alignment horizontal="left"/>
    </xf>
    <xf numFmtId="0" fontId="0" fillId="0" borderId="14" xfId="0" applyBorder="1" applyAlignment="1">
      <alignment horizontal="right"/>
    </xf>
    <xf numFmtId="0" fontId="46" fillId="3" borderId="75" xfId="4" applyFont="1" applyFill="1" applyBorder="1" applyAlignment="1">
      <alignment horizontal="centerContinuous" vertical="center"/>
    </xf>
    <xf numFmtId="2" fontId="22" fillId="0" borderId="0" xfId="0" applyNumberFormat="1" applyFont="1"/>
    <xf numFmtId="0" fontId="6" fillId="5" borderId="0" xfId="0" applyFont="1" applyFill="1" applyAlignment="1" applyProtection="1">
      <alignment horizontal="center"/>
      <protection locked="0"/>
    </xf>
    <xf numFmtId="0" fontId="0" fillId="0" borderId="10" xfId="0" applyBorder="1" applyAlignment="1">
      <alignment vertical="center"/>
    </xf>
    <xf numFmtId="0" fontId="6" fillId="0" borderId="0" xfId="0" applyFont="1" applyAlignment="1">
      <alignment horizontal="center"/>
    </xf>
    <xf numFmtId="0" fontId="0" fillId="0" borderId="10" xfId="0" quotePrefix="1" applyBorder="1" applyAlignment="1">
      <alignment horizontal="center"/>
    </xf>
    <xf numFmtId="0" fontId="22" fillId="0" borderId="0" xfId="1" applyFont="1" applyAlignment="1">
      <alignment horizontal="centerContinuous"/>
    </xf>
    <xf numFmtId="0" fontId="35" fillId="0" borderId="0" xfId="0" applyFont="1" applyAlignment="1">
      <alignment horizontal="centerContinuous"/>
    </xf>
    <xf numFmtId="0" fontId="46" fillId="0" borderId="74" xfId="4" applyFont="1" applyBorder="1" applyAlignment="1">
      <alignment horizontal="centerContinuous" vertical="center" wrapText="1"/>
    </xf>
    <xf numFmtId="0" fontId="4" fillId="0" borderId="0" xfId="0" applyFont="1"/>
    <xf numFmtId="0" fontId="52" fillId="0" borderId="74" xfId="4" applyFont="1" applyBorder="1" applyAlignment="1">
      <alignment horizontal="centerContinuous" vertical="center" wrapText="1"/>
    </xf>
    <xf numFmtId="0" fontId="53" fillId="0" borderId="0" xfId="0" applyFont="1" applyAlignment="1">
      <alignment horizontal="center"/>
    </xf>
    <xf numFmtId="0" fontId="53" fillId="0" borderId="32" xfId="0" applyFont="1" applyBorder="1" applyAlignment="1">
      <alignment horizontal="center"/>
    </xf>
    <xf numFmtId="0" fontId="53" fillId="13" borderId="0" xfId="0" applyFont="1" applyFill="1" applyAlignment="1">
      <alignment horizontal="center"/>
    </xf>
    <xf numFmtId="0" fontId="3" fillId="0" borderId="0" xfId="0" applyFont="1"/>
    <xf numFmtId="0" fontId="53" fillId="14" borderId="0" xfId="0" applyFont="1" applyFill="1" applyAlignment="1">
      <alignment horizontal="center"/>
    </xf>
    <xf numFmtId="0" fontId="53" fillId="14" borderId="32" xfId="0" applyFont="1" applyFill="1" applyBorder="1" applyAlignment="1">
      <alignment horizontal="center"/>
    </xf>
    <xf numFmtId="0" fontId="22" fillId="0" borderId="0" xfId="0" applyFont="1" applyAlignment="1" applyProtection="1">
      <alignment horizontal="right"/>
      <protection locked="0"/>
    </xf>
    <xf numFmtId="0" fontId="53" fillId="4" borderId="0" xfId="0" applyFont="1" applyFill="1" applyAlignment="1">
      <alignment horizontal="center"/>
    </xf>
    <xf numFmtId="0" fontId="48" fillId="0" borderId="0" xfId="0" applyFont="1"/>
    <xf numFmtId="0" fontId="49" fillId="0" borderId="0" xfId="0" applyFont="1"/>
    <xf numFmtId="0" fontId="2" fillId="0" borderId="0" xfId="0" applyFont="1"/>
    <xf numFmtId="2" fontId="46" fillId="0" borderId="74" xfId="4" applyNumberFormat="1" applyFont="1" applyBorder="1" applyAlignment="1">
      <alignment horizontal="centerContinuous" vertical="center" wrapText="1"/>
    </xf>
    <xf numFmtId="170" fontId="46" fillId="0" borderId="74" xfId="4" applyNumberFormat="1" applyFont="1" applyBorder="1" applyAlignment="1">
      <alignment horizontal="centerContinuous" vertical="center" wrapText="1"/>
    </xf>
    <xf numFmtId="2" fontId="46" fillId="0" borderId="76" xfId="4" applyNumberFormat="1" applyFont="1" applyBorder="1" applyAlignment="1">
      <alignment horizontal="centerContinuous" vertical="center" wrapText="1"/>
    </xf>
    <xf numFmtId="170" fontId="46" fillId="0" borderId="76" xfId="4" applyNumberFormat="1" applyFont="1" applyBorder="1" applyAlignment="1">
      <alignment horizontal="centerContinuous" vertical="center" wrapText="1"/>
    </xf>
    <xf numFmtId="2" fontId="46" fillId="0" borderId="77" xfId="4" applyNumberFormat="1" applyFont="1" applyBorder="1" applyAlignment="1">
      <alignment horizontal="centerContinuous" vertical="center" wrapText="1"/>
    </xf>
    <xf numFmtId="170" fontId="46" fillId="0" borderId="77" xfId="4" applyNumberFormat="1" applyFont="1" applyBorder="1" applyAlignment="1">
      <alignment horizontal="centerContinuous" vertical="center" wrapText="1"/>
    </xf>
    <xf numFmtId="0" fontId="2" fillId="0" borderId="0" xfId="0" applyFont="1" applyAlignment="1">
      <alignment horizontal="right"/>
    </xf>
    <xf numFmtId="0" fontId="55" fillId="0" borderId="0" xfId="0" applyFont="1" applyAlignment="1">
      <alignment horizontal="right"/>
    </xf>
    <xf numFmtId="0" fontId="10" fillId="4" borderId="0" xfId="0" applyFont="1" applyFill="1"/>
    <xf numFmtId="0" fontId="22" fillId="4" borderId="0" xfId="0" applyFont="1" applyFill="1"/>
    <xf numFmtId="0" fontId="3" fillId="4" borderId="0" xfId="0" applyFont="1" applyFill="1" applyAlignment="1">
      <alignment horizontal="right"/>
    </xf>
    <xf numFmtId="0" fontId="10" fillId="4" borderId="0" xfId="0" applyFont="1" applyFill="1" applyAlignment="1">
      <alignment horizontal="right"/>
    </xf>
    <xf numFmtId="0" fontId="2" fillId="4" borderId="0" xfId="0" applyFont="1" applyFill="1" applyAlignment="1">
      <alignment horizontal="right"/>
    </xf>
    <xf numFmtId="170" fontId="3" fillId="0" borderId="0" xfId="0" applyNumberFormat="1" applyFont="1" applyAlignment="1">
      <alignment horizontal="center"/>
    </xf>
    <xf numFmtId="0" fontId="3" fillId="0" borderId="0" xfId="0" applyFont="1" applyAlignment="1">
      <alignment horizontal="right"/>
    </xf>
    <xf numFmtId="0" fontId="50" fillId="0" borderId="0" xfId="0" applyFont="1" applyAlignment="1">
      <alignment horizontal="right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right"/>
    </xf>
    <xf numFmtId="168" fontId="22" fillId="0" borderId="0" xfId="0" applyNumberFormat="1" applyFont="1" applyAlignment="1">
      <alignment horizontal="right"/>
    </xf>
    <xf numFmtId="0" fontId="6" fillId="0" borderId="0" xfId="0" applyFont="1" applyAlignment="1">
      <alignment horizontal="right"/>
    </xf>
    <xf numFmtId="1" fontId="22" fillId="0" borderId="7" xfId="0" applyNumberFormat="1" applyFont="1" applyBorder="1" applyAlignment="1">
      <alignment horizontal="center"/>
    </xf>
    <xf numFmtId="2" fontId="22" fillId="0" borderId="0" xfId="0" applyNumberFormat="1" applyFont="1" applyAlignment="1">
      <alignment horizontal="right"/>
    </xf>
    <xf numFmtId="170" fontId="9" fillId="4" borderId="0" xfId="1" applyNumberFormat="1" applyFont="1" applyFill="1" applyAlignment="1">
      <alignment horizontal="right" vertical="center"/>
    </xf>
    <xf numFmtId="169" fontId="9" fillId="0" borderId="0" xfId="1" applyNumberFormat="1" applyFont="1" applyAlignment="1">
      <alignment horizontal="right" vertical="center"/>
    </xf>
    <xf numFmtId="170" fontId="22" fillId="0" borderId="0" xfId="0" applyNumberFormat="1" applyFont="1" applyAlignment="1">
      <alignment horizontal="right"/>
    </xf>
    <xf numFmtId="0" fontId="22" fillId="5" borderId="60" xfId="0" applyFont="1" applyFill="1" applyBorder="1" applyAlignment="1" applyProtection="1">
      <alignment horizontal="center"/>
      <protection locked="0"/>
    </xf>
    <xf numFmtId="0" fontId="22" fillId="5" borderId="61" xfId="0" applyFont="1" applyFill="1" applyBorder="1" applyAlignment="1" applyProtection="1">
      <alignment horizontal="center"/>
      <protection locked="0"/>
    </xf>
    <xf numFmtId="0" fontId="0" fillId="0" borderId="0" xfId="1" applyFont="1" applyAlignment="1">
      <alignment horizontal="right" vertical="center"/>
    </xf>
    <xf numFmtId="0" fontId="9" fillId="0" borderId="0" xfId="1" applyFont="1" applyAlignment="1">
      <alignment horizontal="right" vertical="center"/>
    </xf>
    <xf numFmtId="166" fontId="22" fillId="0" borderId="0" xfId="1" applyNumberFormat="1" applyFont="1" applyAlignment="1">
      <alignment horizontal="right" vertical="center"/>
    </xf>
    <xf numFmtId="2" fontId="9" fillId="0" borderId="0" xfId="1" applyNumberFormat="1" applyFont="1" applyAlignment="1">
      <alignment horizontal="right" vertical="center"/>
    </xf>
    <xf numFmtId="168" fontId="9" fillId="0" borderId="0" xfId="1" applyNumberFormat="1" applyFont="1" applyAlignment="1">
      <alignment horizontal="right" vertical="center"/>
    </xf>
    <xf numFmtId="166" fontId="22" fillId="0" borderId="0" xfId="0" applyNumberFormat="1" applyFont="1" applyAlignment="1">
      <alignment horizontal="right"/>
    </xf>
    <xf numFmtId="2" fontId="6" fillId="0" borderId="0" xfId="0" applyNumberFormat="1" applyFont="1" applyAlignment="1">
      <alignment horizontal="right"/>
    </xf>
    <xf numFmtId="166" fontId="6" fillId="0" borderId="0" xfId="0" applyNumberFormat="1" applyFont="1" applyAlignment="1">
      <alignment horizontal="right"/>
    </xf>
    <xf numFmtId="0" fontId="27" fillId="0" borderId="0" xfId="1" applyFont="1" applyAlignment="1">
      <alignment horizontal="center"/>
    </xf>
    <xf numFmtId="0" fontId="22" fillId="0" borderId="0" xfId="0" applyFont="1" applyAlignment="1" applyProtection="1">
      <alignment horizontal="right"/>
      <protection locked="0"/>
    </xf>
    <xf numFmtId="0" fontId="22" fillId="5" borderId="0" xfId="0" applyFont="1" applyFill="1" applyAlignment="1" applyProtection="1">
      <alignment horizontal="center"/>
      <protection locked="0"/>
    </xf>
    <xf numFmtId="0" fontId="5" fillId="5" borderId="0" xfId="0" applyFont="1" applyFill="1" applyAlignment="1" applyProtection="1">
      <alignment horizontal="center"/>
      <protection locked="0"/>
    </xf>
    <xf numFmtId="0" fontId="5" fillId="5" borderId="14" xfId="0" applyFont="1" applyFill="1" applyBorder="1" applyAlignment="1" applyProtection="1">
      <alignment horizontal="center"/>
      <protection locked="0"/>
    </xf>
    <xf numFmtId="0" fontId="22" fillId="5" borderId="15" xfId="0" applyFont="1" applyFill="1" applyBorder="1" applyAlignment="1" applyProtection="1">
      <alignment horizontal="center"/>
      <protection locked="0"/>
    </xf>
    <xf numFmtId="0" fontId="22" fillId="5" borderId="16" xfId="0" applyFont="1" applyFill="1" applyBorder="1" applyAlignment="1" applyProtection="1">
      <alignment horizontal="center"/>
      <protection locked="0"/>
    </xf>
    <xf numFmtId="166" fontId="22" fillId="4" borderId="0" xfId="0" applyNumberFormat="1" applyFont="1" applyFill="1" applyAlignment="1">
      <alignment horizontal="right"/>
    </xf>
    <xf numFmtId="0" fontId="0" fillId="0" borderId="45" xfId="1" applyFont="1" applyBorder="1" applyAlignment="1">
      <alignment horizontal="center" vertical="center" textRotation="90"/>
    </xf>
    <xf numFmtId="0" fontId="0" fillId="0" borderId="50" xfId="1" applyFont="1" applyBorder="1" applyAlignment="1">
      <alignment horizontal="center" vertical="center" textRotation="90"/>
    </xf>
    <xf numFmtId="0" fontId="0" fillId="0" borderId="46" xfId="1" applyFont="1" applyBorder="1" applyAlignment="1">
      <alignment horizontal="center" vertical="center" textRotation="90"/>
    </xf>
    <xf numFmtId="0" fontId="22" fillId="0" borderId="10" xfId="0" applyFont="1" applyBorder="1" applyAlignment="1">
      <alignment horizontal="right"/>
    </xf>
    <xf numFmtId="0" fontId="9" fillId="0" borderId="0" xfId="1" applyFont="1" applyAlignment="1">
      <alignment horizontal="center" vertical="center"/>
    </xf>
    <xf numFmtId="0" fontId="9" fillId="0" borderId="12" xfId="1" applyFont="1" applyBorder="1" applyAlignment="1">
      <alignment horizontal="center" vertical="center"/>
    </xf>
    <xf numFmtId="0" fontId="9" fillId="0" borderId="13" xfId="1" applyFont="1" applyBorder="1" applyAlignment="1">
      <alignment horizontal="center" vertical="center"/>
    </xf>
    <xf numFmtId="0" fontId="9" fillId="0" borderId="0" xfId="1" applyFont="1" applyAlignment="1">
      <alignment horizontal="center" vertical="center" textRotation="90"/>
    </xf>
    <xf numFmtId="0" fontId="21" fillId="0" borderId="14" xfId="1" applyFont="1" applyBorder="1" applyAlignment="1" applyProtection="1">
      <alignment horizontal="center" vertical="center"/>
      <protection locked="0"/>
    </xf>
    <xf numFmtId="0" fontId="21" fillId="0" borderId="15" xfId="1" applyFont="1" applyBorder="1" applyAlignment="1" applyProtection="1">
      <alignment horizontal="center" vertical="center"/>
      <protection locked="0"/>
    </xf>
    <xf numFmtId="0" fontId="21" fillId="0" borderId="16" xfId="1" applyFont="1" applyBorder="1" applyAlignment="1" applyProtection="1">
      <alignment horizontal="center" vertical="center"/>
      <protection locked="0"/>
    </xf>
    <xf numFmtId="0" fontId="21" fillId="0" borderId="14" xfId="1" quotePrefix="1" applyFont="1" applyBorder="1" applyAlignment="1" applyProtection="1">
      <alignment horizontal="center" vertical="center"/>
      <protection locked="0"/>
    </xf>
    <xf numFmtId="0" fontId="21" fillId="0" borderId="15" xfId="1" quotePrefix="1" applyFont="1" applyBorder="1" applyAlignment="1" applyProtection="1">
      <alignment horizontal="center" vertical="center"/>
      <protection locked="0"/>
    </xf>
    <xf numFmtId="0" fontId="21" fillId="0" borderId="16" xfId="1" quotePrefix="1" applyFont="1" applyBorder="1" applyAlignment="1" applyProtection="1">
      <alignment horizontal="center" vertical="center"/>
      <protection locked="0"/>
    </xf>
    <xf numFmtId="168" fontId="3" fillId="0" borderId="0" xfId="0" applyNumberFormat="1" applyFont="1" applyAlignment="1">
      <alignment horizontal="right"/>
    </xf>
    <xf numFmtId="0" fontId="44" fillId="0" borderId="0" xfId="0" applyFont="1" applyAlignment="1">
      <alignment horizontal="center"/>
    </xf>
    <xf numFmtId="0" fontId="29" fillId="0" borderId="10" xfId="0" applyFont="1" applyBorder="1" applyAlignment="1">
      <alignment horizontal="center"/>
    </xf>
    <xf numFmtId="0" fontId="9" fillId="0" borderId="10" xfId="1" applyFont="1" applyBorder="1" applyAlignment="1">
      <alignment horizontal="center" vertical="center" textRotation="90"/>
    </xf>
    <xf numFmtId="0" fontId="51" fillId="0" borderId="0" xfId="1" applyFont="1" applyAlignment="1">
      <alignment horizontal="center"/>
    </xf>
    <xf numFmtId="165" fontId="12" fillId="0" borderId="15" xfId="1" applyNumberFormat="1" applyBorder="1" applyAlignment="1">
      <alignment horizontal="left" vertical="center"/>
    </xf>
    <xf numFmtId="0" fontId="12" fillId="0" borderId="15" xfId="1" applyBorder="1" applyAlignment="1">
      <alignment horizontal="center" vertical="center"/>
    </xf>
    <xf numFmtId="0" fontId="12" fillId="0" borderId="16" xfId="1" applyBorder="1" applyAlignment="1">
      <alignment horizontal="center" vertical="center"/>
    </xf>
    <xf numFmtId="0" fontId="13" fillId="0" borderId="6" xfId="1" applyFont="1" applyBorder="1" applyAlignment="1">
      <alignment horizontal="center" vertical="center"/>
    </xf>
    <xf numFmtId="0" fontId="13" fillId="0" borderId="7" xfId="1" applyFont="1" applyBorder="1" applyAlignment="1">
      <alignment horizontal="center" vertical="center"/>
    </xf>
    <xf numFmtId="0" fontId="13" fillId="0" borderId="8" xfId="1" applyFont="1" applyBorder="1" applyAlignment="1">
      <alignment horizontal="center" vertical="center"/>
    </xf>
    <xf numFmtId="0" fontId="13" fillId="0" borderId="12" xfId="1" applyFont="1" applyBorder="1" applyAlignment="1">
      <alignment horizontal="center" vertical="center"/>
    </xf>
    <xf numFmtId="0" fontId="13" fillId="0" borderId="0" xfId="1" applyFont="1" applyAlignment="1">
      <alignment horizontal="center" vertical="center"/>
    </xf>
    <xf numFmtId="0" fontId="13" fillId="0" borderId="13" xfId="1" applyFont="1" applyBorder="1" applyAlignment="1">
      <alignment horizontal="center" vertical="center"/>
    </xf>
    <xf numFmtId="0" fontId="13" fillId="0" borderId="9" xfId="1" applyFont="1" applyBorder="1" applyAlignment="1">
      <alignment horizontal="center" vertical="center"/>
    </xf>
    <xf numFmtId="0" fontId="13" fillId="0" borderId="10" xfId="1" applyFont="1" applyBorder="1" applyAlignment="1">
      <alignment horizontal="center" vertical="center"/>
    </xf>
    <xf numFmtId="0" fontId="13" fillId="0" borderId="11" xfId="1" applyFont="1" applyBorder="1" applyAlignment="1">
      <alignment horizontal="center" vertical="center"/>
    </xf>
    <xf numFmtId="0" fontId="12" fillId="0" borderId="6" xfId="1" applyBorder="1" applyAlignment="1">
      <alignment horizontal="center" vertical="center"/>
    </xf>
    <xf numFmtId="0" fontId="12" fillId="0" borderId="8" xfId="1" applyBorder="1" applyAlignment="1">
      <alignment horizontal="center" vertical="center"/>
    </xf>
    <xf numFmtId="0" fontId="12" fillId="0" borderId="9" xfId="1" applyBorder="1" applyAlignment="1">
      <alignment horizontal="center" vertical="center"/>
    </xf>
    <xf numFmtId="0" fontId="12" fillId="0" borderId="11" xfId="1" applyBorder="1" applyAlignment="1">
      <alignment horizontal="center" vertical="center"/>
    </xf>
    <xf numFmtId="0" fontId="12" fillId="0" borderId="7" xfId="1" applyBorder="1" applyAlignment="1">
      <alignment horizontal="center" vertical="center"/>
    </xf>
    <xf numFmtId="0" fontId="12" fillId="0" borderId="10" xfId="1" applyBorder="1" applyAlignment="1">
      <alignment horizontal="center" vertical="center"/>
    </xf>
    <xf numFmtId="0" fontId="15" fillId="0" borderId="14" xfId="1" applyFont="1" applyBorder="1" applyAlignment="1">
      <alignment horizontal="center" vertical="center"/>
    </xf>
    <xf numFmtId="0" fontId="15" fillId="0" borderId="16" xfId="1" applyFont="1" applyBorder="1" applyAlignment="1">
      <alignment horizontal="center" vertical="center"/>
    </xf>
    <xf numFmtId="0" fontId="12" fillId="0" borderId="14" xfId="1" quotePrefix="1" applyBorder="1" applyAlignment="1">
      <alignment horizontal="center" vertical="center"/>
    </xf>
    <xf numFmtId="0" fontId="12" fillId="0" borderId="15" xfId="1" quotePrefix="1" applyBorder="1" applyAlignment="1">
      <alignment horizontal="center" vertical="center"/>
    </xf>
    <xf numFmtId="0" fontId="12" fillId="0" borderId="16" xfId="1" quotePrefix="1" applyBorder="1" applyAlignment="1">
      <alignment horizontal="center" vertical="center"/>
    </xf>
    <xf numFmtId="0" fontId="12" fillId="0" borderId="14" xfId="1" applyBorder="1" applyAlignment="1">
      <alignment horizontal="center" vertical="center"/>
    </xf>
    <xf numFmtId="0" fontId="15" fillId="0" borderId="14" xfId="1" applyFont="1" applyBorder="1" applyAlignment="1">
      <alignment horizontal="left" vertical="center"/>
    </xf>
    <xf numFmtId="0" fontId="15" fillId="0" borderId="15" xfId="1" applyFont="1" applyBorder="1" applyAlignment="1">
      <alignment horizontal="left" vertical="center"/>
    </xf>
    <xf numFmtId="0" fontId="15" fillId="0" borderId="16" xfId="1" applyFont="1" applyBorder="1" applyAlignment="1">
      <alignment horizontal="left" vertical="center"/>
    </xf>
    <xf numFmtId="0" fontId="15" fillId="0" borderId="15" xfId="1" applyFont="1" applyBorder="1" applyAlignment="1">
      <alignment horizontal="center" vertical="center"/>
    </xf>
    <xf numFmtId="0" fontId="15" fillId="0" borderId="14" xfId="1" quotePrefix="1" applyFont="1" applyBorder="1" applyAlignment="1">
      <alignment horizontal="center" vertical="center"/>
    </xf>
    <xf numFmtId="1" fontId="15" fillId="0" borderId="14" xfId="1" applyNumberFormat="1" applyFont="1" applyBorder="1" applyAlignment="1">
      <alignment horizontal="center" vertical="center"/>
    </xf>
    <xf numFmtId="0" fontId="12" fillId="2" borderId="23" xfId="1" applyFill="1" applyBorder="1" applyAlignment="1">
      <alignment horizontal="center" vertical="center"/>
    </xf>
    <xf numFmtId="0" fontId="12" fillId="2" borderId="24" xfId="1" applyFill="1" applyBorder="1" applyAlignment="1">
      <alignment horizontal="center" vertical="center"/>
    </xf>
    <xf numFmtId="0" fontId="12" fillId="2" borderId="22" xfId="1" applyFill="1" applyBorder="1" applyAlignment="1">
      <alignment horizontal="center" vertical="center"/>
    </xf>
    <xf numFmtId="0" fontId="14" fillId="0" borderId="6" xfId="1" applyFont="1" applyBorder="1" applyAlignment="1">
      <alignment horizontal="center"/>
    </xf>
    <xf numFmtId="0" fontId="14" fillId="0" borderId="7" xfId="1" applyFont="1" applyBorder="1" applyAlignment="1">
      <alignment horizontal="center"/>
    </xf>
    <xf numFmtId="0" fontId="14" fillId="0" borderId="8" xfId="1" applyFont="1" applyBorder="1" applyAlignment="1">
      <alignment horizontal="center"/>
    </xf>
    <xf numFmtId="0" fontId="14" fillId="0" borderId="12" xfId="1" applyFont="1" applyBorder="1" applyAlignment="1">
      <alignment horizontal="center"/>
    </xf>
    <xf numFmtId="0" fontId="14" fillId="0" borderId="0" xfId="1" applyFont="1" applyAlignment="1">
      <alignment horizontal="center"/>
    </xf>
    <xf numFmtId="0" fontId="14" fillId="0" borderId="13" xfId="1" applyFont="1" applyBorder="1" applyAlignment="1">
      <alignment horizontal="center"/>
    </xf>
    <xf numFmtId="0" fontId="12" fillId="0" borderId="0" xfId="1" applyAlignment="1">
      <alignment horizontal="left" vertical="center"/>
    </xf>
    <xf numFmtId="166" fontId="18" fillId="0" borderId="14" xfId="2" applyNumberFormat="1" applyFont="1" applyBorder="1" applyAlignment="1">
      <alignment horizontal="left"/>
    </xf>
    <xf numFmtId="166" fontId="18" fillId="0" borderId="15" xfId="2" applyNumberFormat="1" applyFont="1" applyBorder="1" applyAlignment="1">
      <alignment horizontal="left"/>
    </xf>
    <xf numFmtId="166" fontId="18" fillId="0" borderId="16" xfId="2" applyNumberFormat="1" applyFont="1" applyBorder="1" applyAlignment="1">
      <alignment horizontal="left"/>
    </xf>
    <xf numFmtId="2" fontId="18" fillId="0" borderId="14" xfId="2" applyNumberFormat="1" applyFont="1" applyBorder="1" applyAlignment="1">
      <alignment horizontal="left"/>
    </xf>
    <xf numFmtId="2" fontId="18" fillId="0" borderId="15" xfId="2" applyNumberFormat="1" applyFont="1" applyBorder="1" applyAlignment="1">
      <alignment horizontal="left"/>
    </xf>
    <xf numFmtId="2" fontId="18" fillId="0" borderId="16" xfId="2" applyNumberFormat="1" applyFont="1" applyBorder="1" applyAlignment="1">
      <alignment horizontal="left"/>
    </xf>
    <xf numFmtId="166" fontId="18" fillId="0" borderId="53" xfId="2" applyNumberFormat="1" applyFont="1" applyBorder="1" applyAlignment="1">
      <alignment horizontal="left"/>
    </xf>
    <xf numFmtId="166" fontId="18" fillId="0" borderId="54" xfId="2" applyNumberFormat="1" applyFont="1" applyBorder="1" applyAlignment="1">
      <alignment horizontal="left"/>
    </xf>
    <xf numFmtId="166" fontId="18" fillId="0" borderId="55" xfId="2" applyNumberFormat="1" applyFont="1" applyBorder="1" applyAlignment="1">
      <alignment horizontal="left"/>
    </xf>
    <xf numFmtId="2" fontId="18" fillId="0" borderId="53" xfId="2" applyNumberFormat="1" applyFont="1" applyBorder="1" applyAlignment="1">
      <alignment horizontal="left"/>
    </xf>
    <xf numFmtId="2" fontId="18" fillId="0" borderId="54" xfId="2" applyNumberFormat="1" applyFont="1" applyBorder="1" applyAlignment="1">
      <alignment horizontal="left"/>
    </xf>
    <xf numFmtId="2" fontId="18" fillId="0" borderId="55" xfId="2" applyNumberFormat="1" applyFont="1" applyBorder="1" applyAlignment="1">
      <alignment horizontal="left"/>
    </xf>
    <xf numFmtId="0" fontId="18" fillId="0" borderId="14" xfId="2" applyFont="1" applyBorder="1" applyAlignment="1">
      <alignment horizontal="left"/>
    </xf>
    <xf numFmtId="0" fontId="18" fillId="0" borderId="15" xfId="2" applyFont="1" applyBorder="1" applyAlignment="1">
      <alignment horizontal="left"/>
    </xf>
    <xf numFmtId="0" fontId="18" fillId="0" borderId="16" xfId="2" applyFont="1" applyBorder="1" applyAlignment="1">
      <alignment horizontal="left"/>
    </xf>
    <xf numFmtId="0" fontId="19" fillId="3" borderId="41" xfId="2" applyFont="1" applyFill="1" applyBorder="1" applyAlignment="1">
      <alignment horizontal="center"/>
    </xf>
    <xf numFmtId="0" fontId="19" fillId="3" borderId="42" xfId="2" applyFont="1" applyFill="1" applyBorder="1" applyAlignment="1">
      <alignment horizontal="center"/>
    </xf>
    <xf numFmtId="0" fontId="19" fillId="3" borderId="43" xfId="2" applyFont="1" applyFill="1" applyBorder="1" applyAlignment="1">
      <alignment horizontal="center"/>
    </xf>
    <xf numFmtId="0" fontId="19" fillId="3" borderId="14" xfId="2" applyFont="1" applyFill="1" applyBorder="1" applyAlignment="1">
      <alignment horizontal="center"/>
    </xf>
    <xf numFmtId="0" fontId="19" fillId="3" borderId="15" xfId="2" applyFont="1" applyFill="1" applyBorder="1" applyAlignment="1">
      <alignment horizontal="center"/>
    </xf>
    <xf numFmtId="0" fontId="38" fillId="0" borderId="0" xfId="0" applyFont="1" applyAlignment="1">
      <alignment horizontal="center" textRotation="90"/>
    </xf>
    <xf numFmtId="0" fontId="38" fillId="0" borderId="0" xfId="0" applyFont="1" applyAlignment="1">
      <alignment horizontal="left" vertical="top"/>
    </xf>
    <xf numFmtId="0" fontId="0" fillId="10" borderId="0" xfId="0" applyFill="1" applyAlignment="1">
      <alignment horizontal="left" vertical="center" textRotation="90"/>
    </xf>
    <xf numFmtId="0" fontId="0" fillId="8" borderId="0" xfId="0" applyFill="1" applyAlignment="1">
      <alignment horizontal="center"/>
    </xf>
    <xf numFmtId="0" fontId="24" fillId="0" borderId="0" xfId="0" applyFont="1" applyAlignment="1">
      <alignment horizontal="center"/>
    </xf>
    <xf numFmtId="0" fontId="24" fillId="0" borderId="0" xfId="0" applyFont="1" applyAlignment="1">
      <alignment horizontal="center" vertical="center" textRotation="90"/>
    </xf>
    <xf numFmtId="0" fontId="0" fillId="0" borderId="0" xfId="0" applyAlignment="1">
      <alignment horizontal="left" textRotation="90"/>
    </xf>
    <xf numFmtId="0" fontId="0" fillId="0" borderId="0" xfId="0" applyAlignment="1">
      <alignment horizontal="center"/>
    </xf>
    <xf numFmtId="0" fontId="0" fillId="7" borderId="0" xfId="0" applyFill="1" applyAlignment="1">
      <alignment horizontal="center" vertical="center"/>
    </xf>
  </cellXfs>
  <cellStyles count="5">
    <cellStyle name="Normal" xfId="0" builtinId="0"/>
    <cellStyle name="Normal 2" xfId="1" xr:uid="{D5BCBD35-54A8-4BE7-8FD9-6C99C3AA5BEC}"/>
    <cellStyle name="Normal 3" xfId="2" xr:uid="{7ACBC3F7-2023-42B9-B42F-133F2D6CA5D8}"/>
    <cellStyle name="Normal_Plan1" xfId="4" xr:uid="{7103E312-5DEF-4963-ACC4-CBC33A04AE7F}"/>
    <cellStyle name="Vírgula 2" xfId="3" xr:uid="{2FF97C8F-F224-45D0-9ED0-B70A8556DB22}"/>
  </cellStyles>
  <dxfs count="14">
    <dxf>
      <border>
        <bottom/>
        <vertical/>
        <horizontal/>
      </border>
    </dxf>
    <dxf>
      <border>
        <bottom/>
        <vertical/>
        <horizontal/>
      </border>
    </dxf>
    <dxf>
      <font>
        <color theme="0"/>
      </font>
    </dxf>
    <dxf>
      <border>
        <right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border>
        <right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border>
        <right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border>
        <right/>
        <vertical/>
        <horizontal/>
      </border>
    </dxf>
    <dxf>
      <font>
        <b/>
        <i val="0"/>
        <color rgb="FFFF0000"/>
      </font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border>
        <top/>
        <vertical/>
        <horizontal/>
      </border>
    </dxf>
    <dxf>
      <border>
        <top/>
        <bottom/>
        <vertical/>
        <horizontal/>
      </border>
    </dxf>
  </dxfs>
  <tableStyles count="0" defaultTableStyle="TableStyleMedium2" defaultPivotStyle="PivotStyleLight16"/>
  <colors>
    <mruColors>
      <color rgb="FF33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6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styles" Target="styles.xml"/><Relationship Id="rId5" Type="http://schemas.openxmlformats.org/officeDocument/2006/relationships/chartsheet" Target="chartsheets/sheet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pt-BR"/>
              <a:t>CLASSE 0,3</a:t>
            </a:r>
          </a:p>
        </c:rich>
      </c:tx>
      <c:layout>
        <c:manualLayout>
          <c:xMode val="edge"/>
          <c:yMode val="edge"/>
          <c:x val="0.41806020836123919"/>
          <c:y val="2.035270633919394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434782608695652E-2"/>
          <c:y val="0.15061058344640438"/>
          <c:w val="0.92224080267558517"/>
          <c:h val="0.76255088195386711"/>
        </c:manualLayout>
      </c:layout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Dados!$A$115:$A$119</c:f>
              <c:numCache>
                <c:formatCode>General</c:formatCode>
                <c:ptCount val="5"/>
                <c:pt idx="0">
                  <c:v>-30</c:v>
                </c:pt>
                <c:pt idx="1">
                  <c:v>0</c:v>
                </c:pt>
                <c:pt idx="2">
                  <c:v>30</c:v>
                </c:pt>
                <c:pt idx="3">
                  <c:v>0</c:v>
                </c:pt>
                <c:pt idx="4">
                  <c:v>-30</c:v>
                </c:pt>
              </c:numCache>
            </c:numRef>
          </c:xVal>
          <c:yVal>
            <c:numRef>
              <c:f>Dados!$B$115:$B$119</c:f>
              <c:numCache>
                <c:formatCode>General</c:formatCode>
                <c:ptCount val="5"/>
                <c:pt idx="0">
                  <c:v>0.99399999999999999</c:v>
                </c:pt>
                <c:pt idx="1">
                  <c:v>1.006</c:v>
                </c:pt>
                <c:pt idx="2">
                  <c:v>1.006</c:v>
                </c:pt>
                <c:pt idx="3">
                  <c:v>0.99399999999999999</c:v>
                </c:pt>
                <c:pt idx="4">
                  <c:v>0.99399999999999999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BB-4A8C-809E-9877F7FD9B90}"/>
            </c:ext>
          </c:extLst>
        </c:ser>
        <c:ser>
          <c:idx val="1"/>
          <c:order val="1"/>
          <c:marker>
            <c:symbol val="none"/>
          </c:marker>
          <c:xVal>
            <c:numRef>
              <c:f>Dados!$C$115:$C$119</c:f>
              <c:numCache>
                <c:formatCode>General</c:formatCode>
                <c:ptCount val="5"/>
                <c:pt idx="0">
                  <c:v>-15</c:v>
                </c:pt>
                <c:pt idx="1">
                  <c:v>0</c:v>
                </c:pt>
                <c:pt idx="2">
                  <c:v>15</c:v>
                </c:pt>
                <c:pt idx="3">
                  <c:v>0</c:v>
                </c:pt>
                <c:pt idx="4">
                  <c:v>-15</c:v>
                </c:pt>
              </c:numCache>
            </c:numRef>
          </c:xVal>
          <c:yVal>
            <c:numRef>
              <c:f>Dados!$D$115:$D$119</c:f>
              <c:numCache>
                <c:formatCode>General</c:formatCode>
                <c:ptCount val="5"/>
                <c:pt idx="0">
                  <c:v>0.997</c:v>
                </c:pt>
                <c:pt idx="1">
                  <c:v>1.0029999999999999</c:v>
                </c:pt>
                <c:pt idx="2">
                  <c:v>1.0029999999999999</c:v>
                </c:pt>
                <c:pt idx="3">
                  <c:v>0.997</c:v>
                </c:pt>
                <c:pt idx="4">
                  <c:v>0.997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0BB-4A8C-809E-9877F7FD9B90}"/>
            </c:ext>
          </c:extLst>
        </c:ser>
        <c:ser>
          <c:idx val="2"/>
          <c:order val="2"/>
          <c:spPr>
            <a:ln>
              <a:solidFill>
                <a:schemeClr val="bg1">
                  <a:lumMod val="95000"/>
                </a:schemeClr>
              </a:solidFill>
            </a:ln>
          </c:spPr>
          <c:marker>
            <c:symbol val="none"/>
          </c:marke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8-C0BB-4A8C-809E-9877F7FD9B90}"/>
              </c:ext>
            </c:extLst>
          </c:dPt>
          <c:dPt>
            <c:idx val="1"/>
            <c:marker>
              <c:symbol val="square"/>
              <c:size val="8"/>
            </c:marker>
            <c:bubble3D val="0"/>
            <c:extLst>
              <c:ext xmlns:c16="http://schemas.microsoft.com/office/drawing/2014/chart" uri="{C3380CC4-5D6E-409C-BE32-E72D297353CC}">
                <c16:uniqueId val="{00000009-C0BB-4A8C-809E-9877F7FD9B90}"/>
              </c:ext>
            </c:extLst>
          </c:dPt>
          <c:dPt>
            <c:idx val="3"/>
            <c:marker>
              <c:symbol val="square"/>
              <c:size val="8"/>
              <c:spPr>
                <a:solidFill>
                  <a:srgbClr val="3333FF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C0BB-4A8C-809E-9877F7FD9B90}"/>
              </c:ext>
            </c:extLst>
          </c:dPt>
          <c:xVal>
            <c:numRef>
              <c:f>Dados!$E$115:$E$119</c:f>
              <c:numCache>
                <c:formatCode>General</c:formatCode>
                <c:ptCount val="5"/>
                <c:pt idx="0">
                  <c:v>1.06</c:v>
                </c:pt>
                <c:pt idx="1">
                  <c:v>1.06</c:v>
                </c:pt>
                <c:pt idx="2">
                  <c:v>1.06</c:v>
                </c:pt>
                <c:pt idx="3">
                  <c:v>9.5500000000000007</c:v>
                </c:pt>
                <c:pt idx="4">
                  <c:v>9.5500000000000007</c:v>
                </c:pt>
              </c:numCache>
            </c:numRef>
          </c:xVal>
          <c:yVal>
            <c:numRef>
              <c:f>Dados!$F$115:$F$119</c:f>
              <c:numCache>
                <c:formatCode>General</c:formatCode>
                <c:ptCount val="5"/>
                <c:pt idx="0">
                  <c:v>0.9989710598083974</c:v>
                </c:pt>
                <c:pt idx="1">
                  <c:v>0.9989710598083974</c:v>
                </c:pt>
                <c:pt idx="2">
                  <c:v>0.9989710598083974</c:v>
                </c:pt>
                <c:pt idx="3">
                  <c:v>1.0047928619515087</c:v>
                </c:pt>
                <c:pt idx="4">
                  <c:v>1.0047928619515087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0BB-4A8C-809E-9877F7FD9B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9660048"/>
        <c:axId val="1"/>
      </c:scatterChart>
      <c:valAx>
        <c:axId val="549660048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MINUTOS</a:t>
                </a:r>
              </a:p>
            </c:rich>
          </c:tx>
          <c:layout>
            <c:manualLayout>
              <c:xMode val="edge"/>
              <c:yMode val="edge"/>
              <c:x val="0.47408025043390795"/>
              <c:y val="0.9348710209592269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1"/>
        <c:crossBetween val="midCat"/>
      </c:valAx>
      <c:valAx>
        <c:axId val="1"/>
        <c:scaling>
          <c:orientation val="minMax"/>
          <c:max val="1.006"/>
          <c:min val="0.99399999999999999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DESVIO RELAÇÃO</a:t>
                </a:r>
              </a:p>
            </c:rich>
          </c:tx>
          <c:layout>
            <c:manualLayout>
              <c:xMode val="edge"/>
              <c:yMode val="edge"/>
              <c:x val="1.0033412581473767E-2"/>
              <c:y val="0.4084125558441669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9660048"/>
        <c:crosses val="autoZero"/>
        <c:crossBetween val="midCat"/>
        <c:majorUnit val="1E-3"/>
        <c:minorUnit val="1E-3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689FCF5-9245-45D7-9158-61A88C2BE5D6}">
  <sheetPr/>
  <sheetViews>
    <sheetView zoomScale="80" workbookViewId="0"/>
  </sheetViews>
  <pageMargins left="0.78740157499999996" right="0.78740157499999996" top="0.984251969" bottom="0.984251969" header="0.49212598499999999" footer="0.49212598499999999"/>
  <pageSetup paperSize="9" orientation="landscape" r:id="rId1"/>
  <headerFooter alignWithMargins="0"/>
  <drawing r:id="rId2"/>
</chartsheet>
</file>

<file path=xl/ctrlProps/ctrlProp1.xml><?xml version="1.0" encoding="utf-8"?>
<formControlPr xmlns="http://schemas.microsoft.com/office/spreadsheetml/2009/9/main" objectType="Drop" dropLines="4" dropStyle="combo" dx="22" fmlaLink="$AM$6" fmlaRange="$AM$2:$AM$5" sel="2" val="0"/>
</file>

<file path=xl/ctrlProps/ctrlProp10.xml><?xml version="1.0" encoding="utf-8"?>
<formControlPr xmlns="http://schemas.microsoft.com/office/spreadsheetml/2009/9/main" objectType="Drop" dropLines="10" dropStyle="combo" dx="22" fmlaLink="$DX$12" fmlaRange="$DX$2:$DX$11" sel="5" val="0"/>
</file>

<file path=xl/ctrlProps/ctrlProp2.xml><?xml version="1.0" encoding="utf-8"?>
<formControlPr xmlns="http://schemas.microsoft.com/office/spreadsheetml/2009/9/main" objectType="Drop" dropLines="5" dropStyle="combo" dx="22" fmlaLink="$BC$7" fmlaRange="$BC$2:$BC$6" sel="1" val="0"/>
</file>

<file path=xl/ctrlProps/ctrlProp3.xml><?xml version="1.0" encoding="utf-8"?>
<formControlPr xmlns="http://schemas.microsoft.com/office/spreadsheetml/2009/9/main" objectType="Drop" dropLines="2" dropStyle="combo" dx="22" fmlaLink="$AT$4" fmlaRange="$AT$2:$AT$3" sel="2" val="0"/>
</file>

<file path=xl/ctrlProps/ctrlProp4.xml><?xml version="1.0" encoding="utf-8"?>
<formControlPr xmlns="http://schemas.microsoft.com/office/spreadsheetml/2009/9/main" objectType="Drop" dropLines="9" dropStyle="combo" dx="22" fmlaLink="$BH$11" fmlaRange="$BH$2:$BH$10" sel="2" val="0"/>
</file>

<file path=xl/ctrlProps/ctrlProp5.xml><?xml version="1.0" encoding="utf-8"?>
<formControlPr xmlns="http://schemas.microsoft.com/office/spreadsheetml/2009/9/main" objectType="Drop" dropLines="2" dropStyle="combo" dx="22" fmlaLink="$BL$4" fmlaRange="$BL$2:$BL$3" sel="1" val="0"/>
</file>

<file path=xl/ctrlProps/ctrlProp6.xml><?xml version="1.0" encoding="utf-8"?>
<formControlPr xmlns="http://schemas.microsoft.com/office/spreadsheetml/2009/9/main" objectType="Drop" dropLines="2" dropStyle="combo" dx="22" fmlaLink="$AY$4" fmlaRange="$AY$2:$AY$3" sel="1" val="0"/>
</file>

<file path=xl/ctrlProps/ctrlProp7.xml><?xml version="1.0" encoding="utf-8"?>
<formControlPr xmlns="http://schemas.microsoft.com/office/spreadsheetml/2009/9/main" objectType="Drop" dropLines="28" dropStyle="combo" dx="22" fmlaLink="$BR$37" fmlaRange="$BR$2:$BR$36" sel="1" val="0"/>
</file>

<file path=xl/ctrlProps/ctrlProp8.xml><?xml version="1.0" encoding="utf-8"?>
<formControlPr xmlns="http://schemas.microsoft.com/office/spreadsheetml/2009/9/main" objectType="Drop" dropLines="2" dropStyle="combo" dx="22" fmlaLink="$BX$4" fmlaRange="$BX$2:$BX$3" sel="2" val="0"/>
</file>

<file path=xl/ctrlProps/ctrlProp9.xml><?xml version="1.0" encoding="utf-8"?>
<formControlPr xmlns="http://schemas.microsoft.com/office/spreadsheetml/2009/9/main" objectType="Drop" dropLines="11" dropStyle="combo" dx="22" fmlaLink="$CC$13" fmlaRange="$CC$2:$CC$12" sel="5" val="0"/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wmf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2</xdr:row>
          <xdr:rowOff>19050</xdr:rowOff>
        </xdr:from>
        <xdr:to>
          <xdr:col>8</xdr:col>
          <xdr:colOff>200025</xdr:colOff>
          <xdr:row>2</xdr:row>
          <xdr:rowOff>219075</xdr:rowOff>
        </xdr:to>
        <xdr:sp macro="" textlink="">
          <xdr:nvSpPr>
            <xdr:cNvPr id="5121" name="Drop Down 1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00000000-0008-0000-0000-00000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19050</xdr:colOff>
          <xdr:row>6</xdr:row>
          <xdr:rowOff>9525</xdr:rowOff>
        </xdr:from>
        <xdr:to>
          <xdr:col>10</xdr:col>
          <xdr:colOff>219075</xdr:colOff>
          <xdr:row>6</xdr:row>
          <xdr:rowOff>219075</xdr:rowOff>
        </xdr:to>
        <xdr:sp macro="" textlink="">
          <xdr:nvSpPr>
            <xdr:cNvPr id="5122" name="Drop Down 2" hidden="1">
              <a:extLst>
                <a:ext uri="{63B3BB69-23CF-44E3-9099-C40C66FF867C}">
                  <a14:compatExt spid="_x0000_s5122"/>
                </a:ext>
                <a:ext uri="{FF2B5EF4-FFF2-40B4-BE49-F238E27FC236}">
                  <a16:creationId xmlns:a16="http://schemas.microsoft.com/office/drawing/2014/main" id="{00000000-0008-0000-0000-00000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28575</xdr:colOff>
          <xdr:row>2</xdr:row>
          <xdr:rowOff>19050</xdr:rowOff>
        </xdr:from>
        <xdr:to>
          <xdr:col>14</xdr:col>
          <xdr:colOff>219075</xdr:colOff>
          <xdr:row>2</xdr:row>
          <xdr:rowOff>219075</xdr:rowOff>
        </xdr:to>
        <xdr:sp macro="" textlink="">
          <xdr:nvSpPr>
            <xdr:cNvPr id="5123" name="Drop Down 3" hidden="1">
              <a:extLst>
                <a:ext uri="{63B3BB69-23CF-44E3-9099-C40C66FF867C}">
                  <a14:compatExt spid="_x0000_s5123"/>
                </a:ext>
                <a:ext uri="{FF2B5EF4-FFF2-40B4-BE49-F238E27FC236}">
                  <a16:creationId xmlns:a16="http://schemas.microsoft.com/office/drawing/2014/main" id="{00000000-0008-0000-0000-000003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10</xdr:row>
          <xdr:rowOff>19050</xdr:rowOff>
        </xdr:from>
        <xdr:to>
          <xdr:col>5</xdr:col>
          <xdr:colOff>219075</xdr:colOff>
          <xdr:row>10</xdr:row>
          <xdr:rowOff>219075</xdr:rowOff>
        </xdr:to>
        <xdr:sp macro="" textlink="">
          <xdr:nvSpPr>
            <xdr:cNvPr id="5129" name="Drop Down 9" hidden="1">
              <a:extLst>
                <a:ext uri="{63B3BB69-23CF-44E3-9099-C40C66FF867C}">
                  <a14:compatExt spid="_x0000_s5129"/>
                </a:ext>
                <a:ext uri="{FF2B5EF4-FFF2-40B4-BE49-F238E27FC236}">
                  <a16:creationId xmlns:a16="http://schemas.microsoft.com/office/drawing/2014/main" id="{00000000-0008-0000-0000-000009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28575</xdr:colOff>
          <xdr:row>10</xdr:row>
          <xdr:rowOff>19050</xdr:rowOff>
        </xdr:from>
        <xdr:to>
          <xdr:col>10</xdr:col>
          <xdr:colOff>228600</xdr:colOff>
          <xdr:row>10</xdr:row>
          <xdr:rowOff>219075</xdr:rowOff>
        </xdr:to>
        <xdr:sp macro="" textlink="">
          <xdr:nvSpPr>
            <xdr:cNvPr id="5130" name="Drop Down 10" hidden="1">
              <a:extLst>
                <a:ext uri="{63B3BB69-23CF-44E3-9099-C40C66FF867C}">
                  <a14:compatExt spid="_x0000_s5130"/>
                </a:ext>
                <a:ext uri="{FF2B5EF4-FFF2-40B4-BE49-F238E27FC236}">
                  <a16:creationId xmlns:a16="http://schemas.microsoft.com/office/drawing/2014/main" id="{00000000-0008-0000-0000-00000A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12</xdr:row>
          <xdr:rowOff>19050</xdr:rowOff>
        </xdr:from>
        <xdr:to>
          <xdr:col>5</xdr:col>
          <xdr:colOff>209550</xdr:colOff>
          <xdr:row>12</xdr:row>
          <xdr:rowOff>219075</xdr:rowOff>
        </xdr:to>
        <xdr:sp macro="" textlink="">
          <xdr:nvSpPr>
            <xdr:cNvPr id="5131" name="Drop Down 11" hidden="1">
              <a:extLst>
                <a:ext uri="{63B3BB69-23CF-44E3-9099-C40C66FF867C}">
                  <a14:compatExt spid="_x0000_s5131"/>
                </a:ext>
                <a:ext uri="{FF2B5EF4-FFF2-40B4-BE49-F238E27FC236}">
                  <a16:creationId xmlns:a16="http://schemas.microsoft.com/office/drawing/2014/main" id="{00000000-0008-0000-0000-00000B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28575</xdr:colOff>
          <xdr:row>12</xdr:row>
          <xdr:rowOff>19050</xdr:rowOff>
        </xdr:from>
        <xdr:to>
          <xdr:col>9</xdr:col>
          <xdr:colOff>238125</xdr:colOff>
          <xdr:row>12</xdr:row>
          <xdr:rowOff>219075</xdr:rowOff>
        </xdr:to>
        <xdr:sp macro="" textlink="">
          <xdr:nvSpPr>
            <xdr:cNvPr id="5132" name="Drop Down 12" hidden="1">
              <a:extLst>
                <a:ext uri="{63B3BB69-23CF-44E3-9099-C40C66FF867C}">
                  <a14:compatExt spid="_x0000_s5132"/>
                </a:ext>
                <a:ext uri="{FF2B5EF4-FFF2-40B4-BE49-F238E27FC236}">
                  <a16:creationId xmlns:a16="http://schemas.microsoft.com/office/drawing/2014/main" id="{00000000-0008-0000-0000-00000C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28575</xdr:colOff>
          <xdr:row>10</xdr:row>
          <xdr:rowOff>19050</xdr:rowOff>
        </xdr:from>
        <xdr:to>
          <xdr:col>23</xdr:col>
          <xdr:colOff>209550</xdr:colOff>
          <xdr:row>10</xdr:row>
          <xdr:rowOff>219075</xdr:rowOff>
        </xdr:to>
        <xdr:sp macro="" textlink="">
          <xdr:nvSpPr>
            <xdr:cNvPr id="5138" name="Drop Down 18" hidden="1">
              <a:extLst>
                <a:ext uri="{63B3BB69-23CF-44E3-9099-C40C66FF867C}">
                  <a14:compatExt spid="_x0000_s5138"/>
                </a:ext>
                <a:ext uri="{FF2B5EF4-FFF2-40B4-BE49-F238E27FC236}">
                  <a16:creationId xmlns:a16="http://schemas.microsoft.com/office/drawing/2014/main" id="{00000000-0008-0000-0000-00001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xdr:twoCellAnchor>
    <xdr:from>
      <xdr:col>9</xdr:col>
      <xdr:colOff>225947</xdr:colOff>
      <xdr:row>23</xdr:row>
      <xdr:rowOff>0</xdr:rowOff>
    </xdr:from>
    <xdr:to>
      <xdr:col>9</xdr:col>
      <xdr:colOff>225947</xdr:colOff>
      <xdr:row>26</xdr:row>
      <xdr:rowOff>0</xdr:rowOff>
    </xdr:to>
    <xdr:cxnSp macro="">
      <xdr:nvCxnSpPr>
        <xdr:cNvPr id="19" name="Conector de Seta Reta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CxnSpPr/>
      </xdr:nvCxnSpPr>
      <xdr:spPr>
        <a:xfrm>
          <a:off x="2233524" y="5077558"/>
          <a:ext cx="0" cy="681404"/>
        </a:xfrm>
        <a:prstGeom prst="straightConnector1">
          <a:avLst/>
        </a:prstGeom>
        <a:ln w="6350" cmpd="sng">
          <a:solidFill>
            <a:schemeClr val="tx1"/>
          </a:solidFill>
          <a:headEnd type="stealth" w="med" len="lg"/>
          <a:tailEnd type="stealth" w="med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28</xdr:row>
      <xdr:rowOff>195699</xdr:rowOff>
    </xdr:from>
    <xdr:to>
      <xdr:col>4</xdr:col>
      <xdr:colOff>5953</xdr:colOff>
      <xdr:row>28</xdr:row>
      <xdr:rowOff>195699</xdr:rowOff>
    </xdr:to>
    <xdr:cxnSp macro="">
      <xdr:nvCxnSpPr>
        <xdr:cNvPr id="20" name="Conector de Seta Reta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CxnSpPr/>
      </xdr:nvCxnSpPr>
      <xdr:spPr>
        <a:xfrm>
          <a:off x="22852673" y="20491276"/>
          <a:ext cx="504184" cy="0"/>
        </a:xfrm>
        <a:prstGeom prst="straightConnector1">
          <a:avLst/>
        </a:prstGeom>
        <a:ln w="6350" cmpd="sng">
          <a:solidFill>
            <a:schemeClr val="tx1"/>
          </a:solidFill>
          <a:headEnd type="none" w="med" len="lg"/>
          <a:tailEnd type="stealth" w="med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2721</xdr:colOff>
      <xdr:row>28</xdr:row>
      <xdr:rowOff>196870</xdr:rowOff>
    </xdr:from>
    <xdr:to>
      <xdr:col>8</xdr:col>
      <xdr:colOff>5953</xdr:colOff>
      <xdr:row>28</xdr:row>
      <xdr:rowOff>196870</xdr:rowOff>
    </xdr:to>
    <xdr:cxnSp macro="">
      <xdr:nvCxnSpPr>
        <xdr:cNvPr id="21" name="Conector de Seta Reta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CxnSpPr/>
      </xdr:nvCxnSpPr>
      <xdr:spPr>
        <a:xfrm>
          <a:off x="23353625" y="20492447"/>
          <a:ext cx="999693" cy="0"/>
        </a:xfrm>
        <a:prstGeom prst="straightConnector1">
          <a:avLst/>
        </a:prstGeom>
        <a:ln w="6350" cmpd="sng">
          <a:solidFill>
            <a:schemeClr val="tx1"/>
          </a:solidFill>
          <a:headEnd type="stealth" w="med" len="lg"/>
          <a:tailEnd type="stealth" w="med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20</xdr:row>
      <xdr:rowOff>195810</xdr:rowOff>
    </xdr:from>
    <xdr:to>
      <xdr:col>7</xdr:col>
      <xdr:colOff>0</xdr:colOff>
      <xdr:row>20</xdr:row>
      <xdr:rowOff>195810</xdr:rowOff>
    </xdr:to>
    <xdr:cxnSp macro="">
      <xdr:nvCxnSpPr>
        <xdr:cNvPr id="22" name="Conector de Seta Reta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CxnSpPr/>
      </xdr:nvCxnSpPr>
      <xdr:spPr>
        <a:xfrm>
          <a:off x="23600019" y="18674310"/>
          <a:ext cx="498231" cy="0"/>
        </a:xfrm>
        <a:prstGeom prst="straightConnector1">
          <a:avLst/>
        </a:prstGeom>
        <a:ln w="6350" cmpd="sng">
          <a:solidFill>
            <a:schemeClr val="tx1"/>
          </a:solidFill>
          <a:headEnd type="stealth" w="med" len="lg"/>
          <a:tailEnd type="stealth" w="med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215162</xdr:colOff>
      <xdr:row>22</xdr:row>
      <xdr:rowOff>0</xdr:rowOff>
    </xdr:from>
    <xdr:to>
      <xdr:col>10</xdr:col>
      <xdr:colOff>215162</xdr:colOff>
      <xdr:row>27</xdr:row>
      <xdr:rowOff>0</xdr:rowOff>
    </xdr:to>
    <xdr:cxnSp macro="">
      <xdr:nvCxnSpPr>
        <xdr:cNvPr id="23" name="Conector de Seta Reta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CxnSpPr/>
      </xdr:nvCxnSpPr>
      <xdr:spPr>
        <a:xfrm>
          <a:off x="2486508" y="5077558"/>
          <a:ext cx="0" cy="1135673"/>
        </a:xfrm>
        <a:prstGeom prst="straightConnector1">
          <a:avLst/>
        </a:prstGeom>
        <a:ln w="6350" cmpd="sng">
          <a:solidFill>
            <a:schemeClr val="tx1"/>
          </a:solidFill>
          <a:headEnd type="stealth" w="med" len="lg"/>
          <a:tailEnd type="stealth" w="med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5953</xdr:colOff>
      <xdr:row>20</xdr:row>
      <xdr:rowOff>195699</xdr:rowOff>
    </xdr:from>
    <xdr:to>
      <xdr:col>5</xdr:col>
      <xdr:colOff>5953</xdr:colOff>
      <xdr:row>20</xdr:row>
      <xdr:rowOff>195699</xdr:rowOff>
    </xdr:to>
    <xdr:cxnSp macro="">
      <xdr:nvCxnSpPr>
        <xdr:cNvPr id="24" name="Conector de Seta Reta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CxnSpPr/>
      </xdr:nvCxnSpPr>
      <xdr:spPr>
        <a:xfrm>
          <a:off x="22858626" y="18674199"/>
          <a:ext cx="747346" cy="0"/>
        </a:xfrm>
        <a:prstGeom prst="straightConnector1">
          <a:avLst/>
        </a:prstGeom>
        <a:ln w="6350" cmpd="sng">
          <a:solidFill>
            <a:schemeClr val="tx1"/>
          </a:solidFill>
          <a:headEnd type="none" w="med" len="lg"/>
          <a:tailEnd type="stealth" w="med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5953</xdr:colOff>
      <xdr:row>29</xdr:row>
      <xdr:rowOff>195699</xdr:rowOff>
    </xdr:from>
    <xdr:to>
      <xdr:col>8</xdr:col>
      <xdr:colOff>0</xdr:colOff>
      <xdr:row>29</xdr:row>
      <xdr:rowOff>195699</xdr:rowOff>
    </xdr:to>
    <xdr:cxnSp macro="">
      <xdr:nvCxnSpPr>
        <xdr:cNvPr id="25" name="Conector de Seta Reta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CxnSpPr/>
      </xdr:nvCxnSpPr>
      <xdr:spPr>
        <a:xfrm>
          <a:off x="22858626" y="20945545"/>
          <a:ext cx="1488739" cy="0"/>
        </a:xfrm>
        <a:prstGeom prst="straightConnector1">
          <a:avLst/>
        </a:prstGeom>
        <a:ln w="6350" cmpd="sng">
          <a:solidFill>
            <a:schemeClr val="tx1"/>
          </a:solidFill>
          <a:headEnd type="none" w="med" len="lg"/>
          <a:tailEnd type="stealth" w="med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5953</xdr:colOff>
      <xdr:row>19</xdr:row>
      <xdr:rowOff>195699</xdr:rowOff>
    </xdr:from>
    <xdr:to>
      <xdr:col>7</xdr:col>
      <xdr:colOff>0</xdr:colOff>
      <xdr:row>19</xdr:row>
      <xdr:rowOff>195699</xdr:rowOff>
    </xdr:to>
    <xdr:cxnSp macro="">
      <xdr:nvCxnSpPr>
        <xdr:cNvPr id="26" name="Conector de Seta Reta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CxnSpPr/>
      </xdr:nvCxnSpPr>
      <xdr:spPr>
        <a:xfrm>
          <a:off x="22858626" y="18219930"/>
          <a:ext cx="1239624" cy="0"/>
        </a:xfrm>
        <a:prstGeom prst="straightConnector1">
          <a:avLst/>
        </a:prstGeom>
        <a:ln w="6350" cmpd="sng">
          <a:solidFill>
            <a:schemeClr val="tx1"/>
          </a:solidFill>
          <a:headEnd type="none" w="med" len="lg"/>
          <a:tailEnd type="stealth" w="med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8</xdr:row>
          <xdr:rowOff>19050</xdr:rowOff>
        </xdr:from>
        <xdr:to>
          <xdr:col>5</xdr:col>
          <xdr:colOff>28575</xdr:colOff>
          <xdr:row>8</xdr:row>
          <xdr:rowOff>219075</xdr:rowOff>
        </xdr:to>
        <xdr:sp macro="" textlink="">
          <xdr:nvSpPr>
            <xdr:cNvPr id="13611" name="Drop Down 1323" hidden="1">
              <a:extLst>
                <a:ext uri="{63B3BB69-23CF-44E3-9099-C40C66FF867C}">
                  <a14:compatExt spid="_x0000_s13611"/>
                </a:ext>
                <a:ext uri="{FF2B5EF4-FFF2-40B4-BE49-F238E27FC236}">
                  <a16:creationId xmlns:a16="http://schemas.microsoft.com/office/drawing/2014/main" id="{00000000-0008-0000-0000-00002B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219075</xdr:colOff>
          <xdr:row>8</xdr:row>
          <xdr:rowOff>19050</xdr:rowOff>
        </xdr:from>
        <xdr:to>
          <xdr:col>8</xdr:col>
          <xdr:colOff>57150</xdr:colOff>
          <xdr:row>8</xdr:row>
          <xdr:rowOff>219075</xdr:rowOff>
        </xdr:to>
        <xdr:sp macro="" textlink="">
          <xdr:nvSpPr>
            <xdr:cNvPr id="13643" name="Drop Down 1355" hidden="1">
              <a:extLst>
                <a:ext uri="{63B3BB69-23CF-44E3-9099-C40C66FF867C}">
                  <a14:compatExt spid="_x0000_s13643"/>
                </a:ext>
                <a:ext uri="{FF2B5EF4-FFF2-40B4-BE49-F238E27FC236}">
                  <a16:creationId xmlns:a16="http://schemas.microsoft.com/office/drawing/2014/main" id="{00000000-0008-0000-0000-00004B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120187" cy="5631656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0.663</cdr:x>
      <cdr:y>0.043</cdr:y>
    </cdr:from>
    <cdr:to>
      <cdr:x>0.9845</cdr:x>
      <cdr:y>0.094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042264" y="258333"/>
          <a:ext cx="2934553" cy="30466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54864" tIns="4114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1800" b="1" i="0" u="none" strike="noStrike" baseline="0">
              <a:solidFill>
                <a:srgbClr val="0000FF"/>
              </a:solidFill>
              <a:latin typeface="Arial"/>
              <a:cs typeface="Arial"/>
            </a:rPr>
            <a:t>100 %</a:t>
          </a:r>
          <a:r>
            <a:rPr lang="pt-B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  </a:t>
          </a:r>
          <a:r>
            <a:rPr lang="pt-BR" sz="1800" b="1" i="0" u="none" strike="noStrike" baseline="0">
              <a:solidFill>
                <a:srgbClr val="339966"/>
              </a:solidFill>
              <a:latin typeface="Arial"/>
              <a:cs typeface="Arial"/>
            </a:rPr>
            <a:t>10 %</a:t>
          </a:r>
          <a:r>
            <a:rPr lang="pt-B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39</xdr:col>
      <xdr:colOff>114877</xdr:colOff>
      <xdr:row>18</xdr:row>
      <xdr:rowOff>1151</xdr:rowOff>
    </xdr:from>
    <xdr:to>
      <xdr:col>39</xdr:col>
      <xdr:colOff>114877</xdr:colOff>
      <xdr:row>33</xdr:row>
      <xdr:rowOff>9071</xdr:rowOff>
    </xdr:to>
    <xdr:cxnSp macro="">
      <xdr:nvCxnSpPr>
        <xdr:cNvPr id="2" name="Conector de Seta Reta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CxnSpPr/>
      </xdr:nvCxnSpPr>
      <xdr:spPr>
        <a:xfrm>
          <a:off x="6449002" y="2915801"/>
          <a:ext cx="0" cy="2112945"/>
        </a:xfrm>
        <a:prstGeom prst="straightConnector1">
          <a:avLst/>
        </a:prstGeom>
        <a:ln w="12700" cmpd="sng">
          <a:solidFill>
            <a:schemeClr val="tx1"/>
          </a:solidFill>
          <a:headEnd type="stealth" w="med" len="lg"/>
          <a:tailEnd type="stealth" w="med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181985</xdr:colOff>
      <xdr:row>38</xdr:row>
      <xdr:rowOff>0</xdr:rowOff>
    </xdr:from>
    <xdr:to>
      <xdr:col>18</xdr:col>
      <xdr:colOff>181985</xdr:colOff>
      <xdr:row>44</xdr:row>
      <xdr:rowOff>8658</xdr:rowOff>
    </xdr:to>
    <xdr:cxnSp macro="">
      <xdr:nvCxnSpPr>
        <xdr:cNvPr id="3" name="Conector de Seta Reta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CxnSpPr/>
      </xdr:nvCxnSpPr>
      <xdr:spPr>
        <a:xfrm>
          <a:off x="3396673" y="5786438"/>
          <a:ext cx="0" cy="973064"/>
        </a:xfrm>
        <a:prstGeom prst="straightConnector1">
          <a:avLst/>
        </a:prstGeom>
        <a:ln w="6350" cmpd="sng">
          <a:solidFill>
            <a:schemeClr val="tx1"/>
          </a:solidFill>
          <a:headEnd type="stealth" w="med" len="lg"/>
          <a:tailEnd type="stealth" w="med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47</xdr:row>
      <xdr:rowOff>144410</xdr:rowOff>
    </xdr:from>
    <xdr:to>
      <xdr:col>9</xdr:col>
      <xdr:colOff>5953</xdr:colOff>
      <xdr:row>47</xdr:row>
      <xdr:rowOff>144410</xdr:rowOff>
    </xdr:to>
    <xdr:cxnSp macro="">
      <xdr:nvCxnSpPr>
        <xdr:cNvPr id="4" name="Conector de Seta Reta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CxnSpPr/>
      </xdr:nvCxnSpPr>
      <xdr:spPr>
        <a:xfrm>
          <a:off x="892969" y="7377457"/>
          <a:ext cx="720328" cy="0"/>
        </a:xfrm>
        <a:prstGeom prst="straightConnector1">
          <a:avLst/>
        </a:prstGeom>
        <a:ln w="6350" cmpd="sng">
          <a:solidFill>
            <a:schemeClr val="tx1"/>
          </a:solidFill>
          <a:headEnd type="none" w="med" len="lg"/>
          <a:tailEnd type="stealth" w="med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2721</xdr:colOff>
      <xdr:row>47</xdr:row>
      <xdr:rowOff>145581</xdr:rowOff>
    </xdr:from>
    <xdr:to>
      <xdr:col>17</xdr:col>
      <xdr:colOff>5953</xdr:colOff>
      <xdr:row>47</xdr:row>
      <xdr:rowOff>145581</xdr:rowOff>
    </xdr:to>
    <xdr:cxnSp macro="">
      <xdr:nvCxnSpPr>
        <xdr:cNvPr id="5" name="Conector de Seta Reta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CxnSpPr/>
      </xdr:nvCxnSpPr>
      <xdr:spPr>
        <a:xfrm>
          <a:off x="1610065" y="7700097"/>
          <a:ext cx="1431982" cy="0"/>
        </a:xfrm>
        <a:prstGeom prst="straightConnector1">
          <a:avLst/>
        </a:prstGeom>
        <a:ln w="6350" cmpd="sng">
          <a:solidFill>
            <a:schemeClr val="tx1"/>
          </a:solidFill>
          <a:headEnd type="stealth" w="med" len="lg"/>
          <a:tailEnd type="stealth" w="med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133350</xdr:colOff>
      <xdr:row>21</xdr:row>
      <xdr:rowOff>1360</xdr:rowOff>
    </xdr:from>
    <xdr:to>
      <xdr:col>20</xdr:col>
      <xdr:colOff>82550</xdr:colOff>
      <xdr:row>21</xdr:row>
      <xdr:rowOff>1360</xdr:rowOff>
    </xdr:to>
    <xdr:cxnSp macro="">
      <xdr:nvCxnSpPr>
        <xdr:cNvPr id="6" name="Conector reto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CxnSpPr>
          <a:endCxn id="8" idx="6"/>
        </xdr:cNvCxnSpPr>
      </xdr:nvCxnSpPr>
      <xdr:spPr>
        <a:xfrm flipH="1">
          <a:off x="2667000" y="3401785"/>
          <a:ext cx="1035050" cy="0"/>
        </a:xfrm>
        <a:prstGeom prst="line">
          <a:avLst/>
        </a:prstGeom>
        <a:ln w="12700">
          <a:headEnd type="oval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133350</xdr:colOff>
      <xdr:row>23</xdr:row>
      <xdr:rowOff>80282</xdr:rowOff>
    </xdr:from>
    <xdr:to>
      <xdr:col>17</xdr:col>
      <xdr:colOff>88900</xdr:colOff>
      <xdr:row>23</xdr:row>
      <xdr:rowOff>89808</xdr:rowOff>
    </xdr:to>
    <xdr:cxnSp macro="">
      <xdr:nvCxnSpPr>
        <xdr:cNvPr id="7" name="Conector reto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CxnSpPr/>
      </xdr:nvCxnSpPr>
      <xdr:spPr>
        <a:xfrm flipH="1" flipV="1">
          <a:off x="2667000" y="3804557"/>
          <a:ext cx="498475" cy="9526"/>
        </a:xfrm>
        <a:prstGeom prst="line">
          <a:avLst/>
        </a:prstGeom>
        <a:ln w="12700">
          <a:headEnd type="oval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44450</xdr:colOff>
      <xdr:row>20</xdr:row>
      <xdr:rowOff>36286</xdr:rowOff>
    </xdr:from>
    <xdr:to>
      <xdr:col>14</xdr:col>
      <xdr:colOff>133350</xdr:colOff>
      <xdr:row>21</xdr:row>
      <xdr:rowOff>138793</xdr:rowOff>
    </xdr:to>
    <xdr:sp macro="" textlink="">
      <xdr:nvSpPr>
        <xdr:cNvPr id="8" name="Elipse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/>
      </xdr:nvSpPr>
      <xdr:spPr>
        <a:xfrm>
          <a:off x="2397125" y="3274786"/>
          <a:ext cx="269875" cy="264432"/>
        </a:xfrm>
        <a:prstGeom prst="ellipse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chemeClr val="tx1"/>
              </a:solidFill>
            </a:rPr>
            <a:t>4</a:t>
          </a:r>
        </a:p>
      </xdr:txBody>
    </xdr:sp>
    <xdr:clientData/>
  </xdr:twoCellAnchor>
  <xdr:twoCellAnchor>
    <xdr:from>
      <xdr:col>10</xdr:col>
      <xdr:colOff>176610</xdr:colOff>
      <xdr:row>34</xdr:row>
      <xdr:rowOff>144521</xdr:rowOff>
    </xdr:from>
    <xdr:to>
      <xdr:col>15</xdr:col>
      <xdr:colOff>5953</xdr:colOff>
      <xdr:row>34</xdr:row>
      <xdr:rowOff>144521</xdr:rowOff>
    </xdr:to>
    <xdr:cxnSp macro="">
      <xdr:nvCxnSpPr>
        <xdr:cNvPr id="9" name="Conector de Seta Reta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CxnSpPr/>
      </xdr:nvCxnSpPr>
      <xdr:spPr>
        <a:xfrm>
          <a:off x="1962548" y="5288021"/>
          <a:ext cx="722311" cy="0"/>
        </a:xfrm>
        <a:prstGeom prst="straightConnector1">
          <a:avLst/>
        </a:prstGeom>
        <a:ln w="6350" cmpd="sng">
          <a:solidFill>
            <a:schemeClr val="tx1"/>
          </a:solidFill>
          <a:headEnd type="stealth" w="med" len="lg"/>
          <a:tailEnd type="stealth" w="med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133350</xdr:colOff>
      <xdr:row>25</xdr:row>
      <xdr:rowOff>159742</xdr:rowOff>
    </xdr:from>
    <xdr:to>
      <xdr:col>18</xdr:col>
      <xdr:colOff>95250</xdr:colOff>
      <xdr:row>25</xdr:row>
      <xdr:rowOff>161018</xdr:rowOff>
    </xdr:to>
    <xdr:cxnSp macro="">
      <xdr:nvCxnSpPr>
        <xdr:cNvPr id="10" name="Conector reto 9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CxnSpPr>
          <a:endCxn id="11" idx="6"/>
        </xdr:cNvCxnSpPr>
      </xdr:nvCxnSpPr>
      <xdr:spPr>
        <a:xfrm flipH="1">
          <a:off x="2667000" y="4207867"/>
          <a:ext cx="685800" cy="1276"/>
        </a:xfrm>
        <a:prstGeom prst="line">
          <a:avLst/>
        </a:prstGeom>
        <a:ln w="12700">
          <a:headEnd type="oval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44450</xdr:colOff>
      <xdr:row>25</xdr:row>
      <xdr:rowOff>25400</xdr:rowOff>
    </xdr:from>
    <xdr:to>
      <xdr:col>14</xdr:col>
      <xdr:colOff>133350</xdr:colOff>
      <xdr:row>26</xdr:row>
      <xdr:rowOff>133350</xdr:rowOff>
    </xdr:to>
    <xdr:sp macro="" textlink="">
      <xdr:nvSpPr>
        <xdr:cNvPr id="11" name="Elipse 10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/>
      </xdr:nvSpPr>
      <xdr:spPr>
        <a:xfrm>
          <a:off x="2397125" y="4073525"/>
          <a:ext cx="269875" cy="269875"/>
        </a:xfrm>
        <a:prstGeom prst="ellipse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chemeClr val="tx1"/>
              </a:solidFill>
            </a:rPr>
            <a:t>2</a:t>
          </a:r>
        </a:p>
      </xdr:txBody>
    </xdr:sp>
    <xdr:clientData/>
  </xdr:twoCellAnchor>
  <xdr:twoCellAnchor>
    <xdr:from>
      <xdr:col>6</xdr:col>
      <xdr:colOff>3</xdr:colOff>
      <xdr:row>28</xdr:row>
      <xdr:rowOff>82439</xdr:rowOff>
    </xdr:from>
    <xdr:to>
      <xdr:col>18</xdr:col>
      <xdr:colOff>95250</xdr:colOff>
      <xdr:row>28</xdr:row>
      <xdr:rowOff>82439</xdr:rowOff>
    </xdr:to>
    <xdr:cxnSp macro="">
      <xdr:nvCxnSpPr>
        <xdr:cNvPr id="12" name="Conector reto 1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CxnSpPr/>
      </xdr:nvCxnSpPr>
      <xdr:spPr>
        <a:xfrm flipH="1">
          <a:off x="1085853" y="4616339"/>
          <a:ext cx="2266947" cy="0"/>
        </a:xfrm>
        <a:prstGeom prst="line">
          <a:avLst/>
        </a:prstGeom>
        <a:ln w="12700">
          <a:headEnd type="oval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45357</xdr:colOff>
      <xdr:row>22</xdr:row>
      <xdr:rowOff>113394</xdr:rowOff>
    </xdr:from>
    <xdr:to>
      <xdr:col>14</xdr:col>
      <xdr:colOff>134257</xdr:colOff>
      <xdr:row>24</xdr:row>
      <xdr:rowOff>58058</xdr:rowOff>
    </xdr:to>
    <xdr:sp macro="" textlink="">
      <xdr:nvSpPr>
        <xdr:cNvPr id="14" name="Elipse 13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/>
      </xdr:nvSpPr>
      <xdr:spPr>
        <a:xfrm>
          <a:off x="2398032" y="3675744"/>
          <a:ext cx="269875" cy="268514"/>
        </a:xfrm>
        <a:prstGeom prst="ellipse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chemeClr val="tx1"/>
              </a:solidFill>
            </a:rPr>
            <a:t>3</a:t>
          </a:r>
        </a:p>
      </xdr:txBody>
    </xdr:sp>
    <xdr:clientData/>
  </xdr:twoCellAnchor>
  <xdr:twoCellAnchor>
    <xdr:from>
      <xdr:col>3</xdr:col>
      <xdr:colOff>13607</xdr:colOff>
      <xdr:row>1</xdr:row>
      <xdr:rowOff>24479</xdr:rowOff>
    </xdr:from>
    <xdr:to>
      <xdr:col>5</xdr:col>
      <xdr:colOff>165100</xdr:colOff>
      <xdr:row>2</xdr:row>
      <xdr:rowOff>146323</xdr:rowOff>
    </xdr:to>
    <xdr:sp macro="" textlink="">
      <xdr:nvSpPr>
        <xdr:cNvPr id="15" name="Elipse 14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/>
      </xdr:nvSpPr>
      <xdr:spPr bwMode="auto">
        <a:xfrm>
          <a:off x="556532" y="186404"/>
          <a:ext cx="513443" cy="283769"/>
        </a:xfrm>
        <a:prstGeom prst="ellips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pt-BR" sz="1100"/>
        </a:p>
      </xdr:txBody>
    </xdr:sp>
    <xdr:clientData/>
  </xdr:twoCellAnchor>
  <xdr:twoCellAnchor>
    <xdr:from>
      <xdr:col>6</xdr:col>
      <xdr:colOff>11793</xdr:colOff>
      <xdr:row>1</xdr:row>
      <xdr:rowOff>22665</xdr:rowOff>
    </xdr:from>
    <xdr:to>
      <xdr:col>8</xdr:col>
      <xdr:colOff>163286</xdr:colOff>
      <xdr:row>2</xdr:row>
      <xdr:rowOff>144509</xdr:rowOff>
    </xdr:to>
    <xdr:sp macro="" textlink="">
      <xdr:nvSpPr>
        <xdr:cNvPr id="16" name="Elipse 15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/>
      </xdr:nvSpPr>
      <xdr:spPr bwMode="auto">
        <a:xfrm>
          <a:off x="1097643" y="184590"/>
          <a:ext cx="513443" cy="283769"/>
        </a:xfrm>
        <a:prstGeom prst="ellips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pt-BR" sz="1100"/>
        </a:p>
      </xdr:txBody>
    </xdr:sp>
    <xdr:clientData/>
  </xdr:twoCellAnchor>
  <xdr:twoCellAnchor>
    <xdr:from>
      <xdr:col>9</xdr:col>
      <xdr:colOff>13607</xdr:colOff>
      <xdr:row>1</xdr:row>
      <xdr:rowOff>24479</xdr:rowOff>
    </xdr:from>
    <xdr:to>
      <xdr:col>11</xdr:col>
      <xdr:colOff>165100</xdr:colOff>
      <xdr:row>2</xdr:row>
      <xdr:rowOff>146323</xdr:rowOff>
    </xdr:to>
    <xdr:sp macro="" textlink="">
      <xdr:nvSpPr>
        <xdr:cNvPr id="17" name="Elipse 16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/>
      </xdr:nvSpPr>
      <xdr:spPr bwMode="auto">
        <a:xfrm>
          <a:off x="1642382" y="186404"/>
          <a:ext cx="513443" cy="283769"/>
        </a:xfrm>
        <a:prstGeom prst="ellips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pt-BR" sz="1100"/>
        </a:p>
      </xdr:txBody>
    </xdr:sp>
    <xdr:clientData/>
  </xdr:twoCellAnchor>
  <xdr:twoCellAnchor>
    <xdr:from>
      <xdr:col>12</xdr:col>
      <xdr:colOff>11793</xdr:colOff>
      <xdr:row>1</xdr:row>
      <xdr:rowOff>22665</xdr:rowOff>
    </xdr:from>
    <xdr:to>
      <xdr:col>14</xdr:col>
      <xdr:colOff>163286</xdr:colOff>
      <xdr:row>2</xdr:row>
      <xdr:rowOff>144509</xdr:rowOff>
    </xdr:to>
    <xdr:sp macro="" textlink="">
      <xdr:nvSpPr>
        <xdr:cNvPr id="18" name="Elipse 17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/>
      </xdr:nvSpPr>
      <xdr:spPr bwMode="auto">
        <a:xfrm>
          <a:off x="2183493" y="184590"/>
          <a:ext cx="513443" cy="283769"/>
        </a:xfrm>
        <a:prstGeom prst="ellips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pt-BR" sz="1100"/>
        </a:p>
      </xdr:txBody>
    </xdr:sp>
    <xdr:clientData/>
  </xdr:twoCellAnchor>
  <xdr:twoCellAnchor>
    <xdr:from>
      <xdr:col>15</xdr:col>
      <xdr:colOff>13607</xdr:colOff>
      <xdr:row>1</xdr:row>
      <xdr:rowOff>24479</xdr:rowOff>
    </xdr:from>
    <xdr:to>
      <xdr:col>17</xdr:col>
      <xdr:colOff>165100</xdr:colOff>
      <xdr:row>2</xdr:row>
      <xdr:rowOff>146323</xdr:rowOff>
    </xdr:to>
    <xdr:sp macro="" textlink="">
      <xdr:nvSpPr>
        <xdr:cNvPr id="19" name="Elipse 18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/>
      </xdr:nvSpPr>
      <xdr:spPr bwMode="auto">
        <a:xfrm>
          <a:off x="2728232" y="186404"/>
          <a:ext cx="513443" cy="283769"/>
        </a:xfrm>
        <a:prstGeom prst="ellips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pt-BR" sz="1100"/>
        </a:p>
      </xdr:txBody>
    </xdr:sp>
    <xdr:clientData/>
  </xdr:twoCellAnchor>
  <xdr:twoCellAnchor>
    <xdr:from>
      <xdr:col>18</xdr:col>
      <xdr:colOff>11793</xdr:colOff>
      <xdr:row>1</xdr:row>
      <xdr:rowOff>22665</xdr:rowOff>
    </xdr:from>
    <xdr:to>
      <xdr:col>20</xdr:col>
      <xdr:colOff>163286</xdr:colOff>
      <xdr:row>2</xdr:row>
      <xdr:rowOff>144509</xdr:rowOff>
    </xdr:to>
    <xdr:sp macro="" textlink="">
      <xdr:nvSpPr>
        <xdr:cNvPr id="20" name="Elipse 19">
          <a:extLst>
            <a:ext uri="{FF2B5EF4-FFF2-40B4-BE49-F238E27FC236}">
              <a16:creationId xmlns:a16="http://schemas.microsoft.com/office/drawing/2014/main" id="{00000000-0008-0000-0500-000014000000}"/>
            </a:ext>
          </a:extLst>
        </xdr:cNvPr>
        <xdr:cNvSpPr/>
      </xdr:nvSpPr>
      <xdr:spPr bwMode="auto">
        <a:xfrm>
          <a:off x="3269343" y="184590"/>
          <a:ext cx="513443" cy="283769"/>
        </a:xfrm>
        <a:prstGeom prst="ellips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pt-BR" sz="1100"/>
        </a:p>
      </xdr:txBody>
    </xdr:sp>
    <xdr:clientData/>
  </xdr:twoCellAnchor>
  <xdr:twoCellAnchor>
    <xdr:from>
      <xdr:col>21</xdr:col>
      <xdr:colOff>13607</xdr:colOff>
      <xdr:row>1</xdr:row>
      <xdr:rowOff>24479</xdr:rowOff>
    </xdr:from>
    <xdr:to>
      <xdr:col>23</xdr:col>
      <xdr:colOff>165100</xdr:colOff>
      <xdr:row>2</xdr:row>
      <xdr:rowOff>146323</xdr:rowOff>
    </xdr:to>
    <xdr:sp macro="" textlink="">
      <xdr:nvSpPr>
        <xdr:cNvPr id="21" name="Elipse 20">
          <a:extLst>
            <a:ext uri="{FF2B5EF4-FFF2-40B4-BE49-F238E27FC236}">
              <a16:creationId xmlns:a16="http://schemas.microsoft.com/office/drawing/2014/main" id="{00000000-0008-0000-0500-000015000000}"/>
            </a:ext>
          </a:extLst>
        </xdr:cNvPr>
        <xdr:cNvSpPr/>
      </xdr:nvSpPr>
      <xdr:spPr bwMode="auto">
        <a:xfrm>
          <a:off x="3814082" y="186404"/>
          <a:ext cx="513443" cy="283769"/>
        </a:xfrm>
        <a:prstGeom prst="ellips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pt-BR" sz="1100"/>
        </a:p>
      </xdr:txBody>
    </xdr:sp>
    <xdr:clientData/>
  </xdr:twoCellAnchor>
  <xdr:twoCellAnchor>
    <xdr:from>
      <xdr:col>24</xdr:col>
      <xdr:colOff>11793</xdr:colOff>
      <xdr:row>1</xdr:row>
      <xdr:rowOff>22665</xdr:rowOff>
    </xdr:from>
    <xdr:to>
      <xdr:col>26</xdr:col>
      <xdr:colOff>163286</xdr:colOff>
      <xdr:row>2</xdr:row>
      <xdr:rowOff>144509</xdr:rowOff>
    </xdr:to>
    <xdr:sp macro="" textlink="">
      <xdr:nvSpPr>
        <xdr:cNvPr id="22" name="Elipse 21">
          <a:extLst>
            <a:ext uri="{FF2B5EF4-FFF2-40B4-BE49-F238E27FC236}">
              <a16:creationId xmlns:a16="http://schemas.microsoft.com/office/drawing/2014/main" id="{00000000-0008-0000-0500-000016000000}"/>
            </a:ext>
          </a:extLst>
        </xdr:cNvPr>
        <xdr:cNvSpPr/>
      </xdr:nvSpPr>
      <xdr:spPr bwMode="auto">
        <a:xfrm>
          <a:off x="4355193" y="184590"/>
          <a:ext cx="513443" cy="283769"/>
        </a:xfrm>
        <a:prstGeom prst="ellips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pt-BR" sz="1100"/>
        </a:p>
      </xdr:txBody>
    </xdr:sp>
    <xdr:clientData/>
  </xdr:twoCellAnchor>
  <xdr:twoCellAnchor>
    <xdr:from>
      <xdr:col>27</xdr:col>
      <xdr:colOff>13607</xdr:colOff>
      <xdr:row>1</xdr:row>
      <xdr:rowOff>24479</xdr:rowOff>
    </xdr:from>
    <xdr:to>
      <xdr:col>29</xdr:col>
      <xdr:colOff>165100</xdr:colOff>
      <xdr:row>2</xdr:row>
      <xdr:rowOff>146323</xdr:rowOff>
    </xdr:to>
    <xdr:sp macro="" textlink="">
      <xdr:nvSpPr>
        <xdr:cNvPr id="23" name="Elipse 22">
          <a:extLst>
            <a:ext uri="{FF2B5EF4-FFF2-40B4-BE49-F238E27FC236}">
              <a16:creationId xmlns:a16="http://schemas.microsoft.com/office/drawing/2014/main" id="{00000000-0008-0000-0500-000017000000}"/>
            </a:ext>
          </a:extLst>
        </xdr:cNvPr>
        <xdr:cNvSpPr/>
      </xdr:nvSpPr>
      <xdr:spPr bwMode="auto">
        <a:xfrm>
          <a:off x="4899932" y="186404"/>
          <a:ext cx="513443" cy="283769"/>
        </a:xfrm>
        <a:prstGeom prst="ellips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pt-BR" sz="1100"/>
        </a:p>
      </xdr:txBody>
    </xdr:sp>
    <xdr:clientData/>
  </xdr:twoCellAnchor>
  <xdr:twoCellAnchor>
    <xdr:from>
      <xdr:col>30</xdr:col>
      <xdr:colOff>11793</xdr:colOff>
      <xdr:row>1</xdr:row>
      <xdr:rowOff>22665</xdr:rowOff>
    </xdr:from>
    <xdr:to>
      <xdr:col>32</xdr:col>
      <xdr:colOff>163286</xdr:colOff>
      <xdr:row>2</xdr:row>
      <xdr:rowOff>144509</xdr:rowOff>
    </xdr:to>
    <xdr:sp macro="" textlink="">
      <xdr:nvSpPr>
        <xdr:cNvPr id="24" name="Elipse 23">
          <a:extLst>
            <a:ext uri="{FF2B5EF4-FFF2-40B4-BE49-F238E27FC236}">
              <a16:creationId xmlns:a16="http://schemas.microsoft.com/office/drawing/2014/main" id="{00000000-0008-0000-0500-000018000000}"/>
            </a:ext>
          </a:extLst>
        </xdr:cNvPr>
        <xdr:cNvSpPr/>
      </xdr:nvSpPr>
      <xdr:spPr bwMode="auto">
        <a:xfrm>
          <a:off x="5441043" y="184590"/>
          <a:ext cx="513443" cy="283769"/>
        </a:xfrm>
        <a:prstGeom prst="ellips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pt-BR" sz="1100"/>
        </a:p>
      </xdr:txBody>
    </xdr:sp>
    <xdr:clientData/>
  </xdr:twoCellAnchor>
  <xdr:twoCellAnchor>
    <xdr:from>
      <xdr:col>7</xdr:col>
      <xdr:colOff>8930</xdr:colOff>
      <xdr:row>3</xdr:row>
      <xdr:rowOff>19645</xdr:rowOff>
    </xdr:from>
    <xdr:to>
      <xdr:col>10</xdr:col>
      <xdr:colOff>142874</xdr:colOff>
      <xdr:row>4</xdr:row>
      <xdr:rowOff>156566</xdr:rowOff>
    </xdr:to>
    <xdr:grpSp>
      <xdr:nvGrpSpPr>
        <xdr:cNvPr id="25" name="Agrupar 24">
          <a:extLst>
            <a:ext uri="{FF2B5EF4-FFF2-40B4-BE49-F238E27FC236}">
              <a16:creationId xmlns:a16="http://schemas.microsoft.com/office/drawing/2014/main" id="{00000000-0008-0000-0500-000019000000}"/>
            </a:ext>
          </a:extLst>
        </xdr:cNvPr>
        <xdr:cNvGrpSpPr/>
      </xdr:nvGrpSpPr>
      <xdr:grpSpPr>
        <a:xfrm>
          <a:off x="1291142" y="503222"/>
          <a:ext cx="683463" cy="298113"/>
          <a:chOff x="1275755" y="500657"/>
          <a:chExt cx="676869" cy="298846"/>
        </a:xfrm>
      </xdr:grpSpPr>
      <xdr:sp macro="" textlink="">
        <xdr:nvSpPr>
          <xdr:cNvPr id="26" name="Elipse 25">
            <a:extLst>
              <a:ext uri="{FF2B5EF4-FFF2-40B4-BE49-F238E27FC236}">
                <a16:creationId xmlns:a16="http://schemas.microsoft.com/office/drawing/2014/main" id="{00000000-0008-0000-0500-00001A000000}"/>
              </a:ext>
            </a:extLst>
          </xdr:cNvPr>
          <xdr:cNvSpPr/>
        </xdr:nvSpPr>
        <xdr:spPr>
          <a:xfrm>
            <a:off x="1314449" y="509588"/>
            <a:ext cx="269875" cy="269308"/>
          </a:xfrm>
          <a:prstGeom prst="ellipse">
            <a:avLst/>
          </a:prstGeom>
          <a:noFill/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lang="en-US" sz="1100" b="1">
              <a:solidFill>
                <a:schemeClr val="tx1"/>
              </a:solidFill>
            </a:endParaRPr>
          </a:p>
        </xdr:txBody>
      </xdr:sp>
      <xdr:sp macro="" textlink="">
        <xdr:nvSpPr>
          <xdr:cNvPr id="27" name="Elipse 26">
            <a:extLst>
              <a:ext uri="{FF2B5EF4-FFF2-40B4-BE49-F238E27FC236}">
                <a16:creationId xmlns:a16="http://schemas.microsoft.com/office/drawing/2014/main" id="{00000000-0008-0000-0500-00001B000000}"/>
              </a:ext>
            </a:extLst>
          </xdr:cNvPr>
          <xdr:cNvSpPr/>
        </xdr:nvSpPr>
        <xdr:spPr>
          <a:xfrm>
            <a:off x="1380526" y="575486"/>
            <a:ext cx="137872" cy="137698"/>
          </a:xfrm>
          <a:prstGeom prst="ellipse">
            <a:avLst/>
          </a:prstGeom>
          <a:noFill/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lang="en-US" sz="1100" b="1">
              <a:solidFill>
                <a:schemeClr val="tx1"/>
              </a:solidFill>
            </a:endParaRPr>
          </a:p>
        </xdr:txBody>
      </xdr:sp>
      <xdr:cxnSp macro="">
        <xdr:nvCxnSpPr>
          <xdr:cNvPr id="28" name="Conector reto 27">
            <a:extLst>
              <a:ext uri="{FF2B5EF4-FFF2-40B4-BE49-F238E27FC236}">
                <a16:creationId xmlns:a16="http://schemas.microsoft.com/office/drawing/2014/main" id="{00000000-0008-0000-0500-00001C000000}"/>
              </a:ext>
            </a:extLst>
          </xdr:cNvPr>
          <xdr:cNvCxnSpPr/>
        </xdr:nvCxnSpPr>
        <xdr:spPr>
          <a:xfrm flipH="1" flipV="1">
            <a:off x="1275755" y="643533"/>
            <a:ext cx="676869" cy="2976"/>
          </a:xfrm>
          <a:prstGeom prst="line">
            <a:avLst/>
          </a:prstGeom>
          <a:ln w="9525">
            <a:prstDash val="lgDashDot"/>
            <a:headEnd type="non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9" name="Conector reto 28">
            <a:extLst>
              <a:ext uri="{FF2B5EF4-FFF2-40B4-BE49-F238E27FC236}">
                <a16:creationId xmlns:a16="http://schemas.microsoft.com/office/drawing/2014/main" id="{00000000-0008-0000-0500-00001D000000}"/>
              </a:ext>
            </a:extLst>
          </xdr:cNvPr>
          <xdr:cNvCxnSpPr/>
        </xdr:nvCxnSpPr>
        <xdr:spPr>
          <a:xfrm flipV="1">
            <a:off x="1449089" y="500657"/>
            <a:ext cx="0" cy="298846"/>
          </a:xfrm>
          <a:prstGeom prst="line">
            <a:avLst/>
          </a:prstGeom>
          <a:ln w="9525">
            <a:prstDash val="lgDashDot"/>
            <a:headEnd type="non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30" name="Trapezoide 29">
            <a:extLst>
              <a:ext uri="{FF2B5EF4-FFF2-40B4-BE49-F238E27FC236}">
                <a16:creationId xmlns:a16="http://schemas.microsoft.com/office/drawing/2014/main" id="{00000000-0008-0000-0500-00001E000000}"/>
              </a:ext>
            </a:extLst>
          </xdr:cNvPr>
          <xdr:cNvSpPr/>
        </xdr:nvSpPr>
        <xdr:spPr>
          <a:xfrm rot="5400000" flipV="1">
            <a:off x="1639795" y="501553"/>
            <a:ext cx="275030" cy="291106"/>
          </a:xfrm>
          <a:prstGeom prst="trapezoid">
            <a:avLst/>
          </a:prstGeom>
          <a:noFill/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5</xdr:col>
      <xdr:colOff>79374</xdr:colOff>
      <xdr:row>52</xdr:row>
      <xdr:rowOff>127000</xdr:rowOff>
    </xdr:from>
    <xdr:to>
      <xdr:col>6</xdr:col>
      <xdr:colOff>168275</xdr:colOff>
      <xdr:row>54</xdr:row>
      <xdr:rowOff>70909</xdr:rowOff>
    </xdr:to>
    <xdr:sp macro="" textlink="">
      <xdr:nvSpPr>
        <xdr:cNvPr id="31" name="Elipse 30">
          <a:extLst>
            <a:ext uri="{FF2B5EF4-FFF2-40B4-BE49-F238E27FC236}">
              <a16:creationId xmlns:a16="http://schemas.microsoft.com/office/drawing/2014/main" id="{00000000-0008-0000-0500-00001F000000}"/>
            </a:ext>
          </a:extLst>
        </xdr:cNvPr>
        <xdr:cNvSpPr/>
      </xdr:nvSpPr>
      <xdr:spPr>
        <a:xfrm>
          <a:off x="984249" y="6118225"/>
          <a:ext cx="269876" cy="267759"/>
        </a:xfrm>
        <a:prstGeom prst="ellipse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chemeClr val="tx1"/>
              </a:solidFill>
            </a:rPr>
            <a:t>1</a:t>
          </a:r>
        </a:p>
      </xdr:txBody>
    </xdr:sp>
    <xdr:clientData/>
  </xdr:twoCellAnchor>
  <xdr:twoCellAnchor>
    <xdr:from>
      <xdr:col>3</xdr:col>
      <xdr:colOff>16632</xdr:colOff>
      <xdr:row>59</xdr:row>
      <xdr:rowOff>15119</xdr:rowOff>
    </xdr:from>
    <xdr:to>
      <xdr:col>4</xdr:col>
      <xdr:colOff>32507</xdr:colOff>
      <xdr:row>60</xdr:row>
      <xdr:rowOff>46870</xdr:rowOff>
    </xdr:to>
    <xdr:sp macro="" textlink="">
      <xdr:nvSpPr>
        <xdr:cNvPr id="32" name="Elipse 31">
          <a:extLst>
            <a:ext uri="{FF2B5EF4-FFF2-40B4-BE49-F238E27FC236}">
              <a16:creationId xmlns:a16="http://schemas.microsoft.com/office/drawing/2014/main" id="{00000000-0008-0000-0500-000020000000}"/>
            </a:ext>
          </a:extLst>
        </xdr:cNvPr>
        <xdr:cNvSpPr/>
      </xdr:nvSpPr>
      <xdr:spPr>
        <a:xfrm>
          <a:off x="559557" y="10054469"/>
          <a:ext cx="196850" cy="193676"/>
        </a:xfrm>
        <a:prstGeom prst="ellipse">
          <a:avLst/>
        </a:prstGeom>
        <a:noFill/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chemeClr val="tx1"/>
              </a:solidFill>
            </a:rPr>
            <a:t>0</a:t>
          </a:r>
        </a:p>
      </xdr:txBody>
    </xdr:sp>
    <xdr:clientData/>
  </xdr:twoCellAnchor>
  <xdr:twoCellAnchor editAs="oneCell">
    <xdr:from>
      <xdr:col>3</xdr:col>
      <xdr:colOff>15875</xdr:colOff>
      <xdr:row>3</xdr:row>
      <xdr:rowOff>90487</xdr:rowOff>
    </xdr:from>
    <xdr:to>
      <xdr:col>6</xdr:col>
      <xdr:colOff>171053</xdr:colOff>
      <xdr:row>4</xdr:row>
      <xdr:rowOff>78580</xdr:rowOff>
    </xdr:to>
    <xdr:pic>
      <xdr:nvPicPr>
        <xdr:cNvPr id="33" name="Picture 105">
          <a:extLst>
            <a:ext uri="{FF2B5EF4-FFF2-40B4-BE49-F238E27FC236}">
              <a16:creationId xmlns:a16="http://schemas.microsoft.com/office/drawing/2014/main" id="{00000000-0008-0000-05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8800" y="576262"/>
          <a:ext cx="698103" cy="15001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37</xdr:col>
      <xdr:colOff>114877</xdr:colOff>
      <xdr:row>18</xdr:row>
      <xdr:rowOff>1151</xdr:rowOff>
    </xdr:from>
    <xdr:to>
      <xdr:col>37</xdr:col>
      <xdr:colOff>114877</xdr:colOff>
      <xdr:row>33</xdr:row>
      <xdr:rowOff>9071</xdr:rowOff>
    </xdr:to>
    <xdr:cxnSp macro="">
      <xdr:nvCxnSpPr>
        <xdr:cNvPr id="34" name="Conector de Seta Reta 33">
          <a:extLst>
            <a:ext uri="{FF2B5EF4-FFF2-40B4-BE49-F238E27FC236}">
              <a16:creationId xmlns:a16="http://schemas.microsoft.com/office/drawing/2014/main" id="{00000000-0008-0000-0500-000022000000}"/>
            </a:ext>
          </a:extLst>
        </xdr:cNvPr>
        <xdr:cNvCxnSpPr/>
      </xdr:nvCxnSpPr>
      <xdr:spPr>
        <a:xfrm>
          <a:off x="6842991" y="2962560"/>
          <a:ext cx="0" cy="2146716"/>
        </a:xfrm>
        <a:prstGeom prst="straightConnector1">
          <a:avLst/>
        </a:prstGeom>
        <a:ln w="12700" cmpd="sng">
          <a:solidFill>
            <a:schemeClr val="tx1"/>
          </a:solidFill>
          <a:headEnd type="stealth" w="med" len="lg"/>
          <a:tailEnd type="stealth" w="med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251797</xdr:colOff>
      <xdr:row>36</xdr:row>
      <xdr:rowOff>0</xdr:rowOff>
    </xdr:from>
    <xdr:to>
      <xdr:col>20</xdr:col>
      <xdr:colOff>251797</xdr:colOff>
      <xdr:row>45</xdr:row>
      <xdr:rowOff>157900</xdr:rowOff>
    </xdr:to>
    <xdr:cxnSp macro="">
      <xdr:nvCxnSpPr>
        <xdr:cNvPr id="35" name="Conector de Seta Reta 34">
          <a:extLst>
            <a:ext uri="{FF2B5EF4-FFF2-40B4-BE49-F238E27FC236}">
              <a16:creationId xmlns:a16="http://schemas.microsoft.com/office/drawing/2014/main" id="{00000000-0008-0000-0500-000023000000}"/>
            </a:ext>
          </a:extLst>
        </xdr:cNvPr>
        <xdr:cNvCxnSpPr/>
      </xdr:nvCxnSpPr>
      <xdr:spPr>
        <a:xfrm>
          <a:off x="3847485" y="5464969"/>
          <a:ext cx="0" cy="1604509"/>
        </a:xfrm>
        <a:prstGeom prst="straightConnector1">
          <a:avLst/>
        </a:prstGeom>
        <a:ln w="6350" cmpd="sng">
          <a:solidFill>
            <a:schemeClr val="tx1"/>
          </a:solidFill>
          <a:headEnd type="stealth" w="med" len="lg"/>
          <a:tailEnd type="stealth" w="med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5953</xdr:colOff>
      <xdr:row>34</xdr:row>
      <xdr:rowOff>144410</xdr:rowOff>
    </xdr:from>
    <xdr:to>
      <xdr:col>11</xdr:col>
      <xdr:colOff>5953</xdr:colOff>
      <xdr:row>34</xdr:row>
      <xdr:rowOff>144410</xdr:rowOff>
    </xdr:to>
    <xdr:cxnSp macro="">
      <xdr:nvCxnSpPr>
        <xdr:cNvPr id="44" name="Conector de Seta Reta 43">
          <a:extLst>
            <a:ext uri="{FF2B5EF4-FFF2-40B4-BE49-F238E27FC236}">
              <a16:creationId xmlns:a16="http://schemas.microsoft.com/office/drawing/2014/main" id="{00000000-0008-0000-0500-00002C000000}"/>
            </a:ext>
          </a:extLst>
        </xdr:cNvPr>
        <xdr:cNvCxnSpPr/>
      </xdr:nvCxnSpPr>
      <xdr:spPr>
        <a:xfrm>
          <a:off x="898922" y="5287910"/>
          <a:ext cx="1071562" cy="0"/>
        </a:xfrm>
        <a:prstGeom prst="straightConnector1">
          <a:avLst/>
        </a:prstGeom>
        <a:ln w="6350" cmpd="sng">
          <a:solidFill>
            <a:schemeClr val="tx1"/>
          </a:solidFill>
          <a:headEnd type="none" w="med" len="lg"/>
          <a:tailEnd type="stealth" w="med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5953</xdr:colOff>
      <xdr:row>49</xdr:row>
      <xdr:rowOff>144410</xdr:rowOff>
    </xdr:from>
    <xdr:to>
      <xdr:col>17</xdr:col>
      <xdr:colOff>0</xdr:colOff>
      <xdr:row>49</xdr:row>
      <xdr:rowOff>144410</xdr:rowOff>
    </xdr:to>
    <xdr:cxnSp macro="">
      <xdr:nvCxnSpPr>
        <xdr:cNvPr id="46" name="Conector de Seta Reta 45">
          <a:extLst>
            <a:ext uri="{FF2B5EF4-FFF2-40B4-BE49-F238E27FC236}">
              <a16:creationId xmlns:a16="http://schemas.microsoft.com/office/drawing/2014/main" id="{00000000-0008-0000-0500-00002E000000}"/>
            </a:ext>
          </a:extLst>
        </xdr:cNvPr>
        <xdr:cNvCxnSpPr/>
      </xdr:nvCxnSpPr>
      <xdr:spPr>
        <a:xfrm>
          <a:off x="898922" y="7698926"/>
          <a:ext cx="2137172" cy="0"/>
        </a:xfrm>
        <a:prstGeom prst="straightConnector1">
          <a:avLst/>
        </a:prstGeom>
        <a:ln w="6350" cmpd="sng">
          <a:solidFill>
            <a:schemeClr val="tx1"/>
          </a:solidFill>
          <a:headEnd type="none" w="med" len="lg"/>
          <a:tailEnd type="stealth" w="med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5953</xdr:colOff>
      <xdr:row>32</xdr:row>
      <xdr:rowOff>144410</xdr:rowOff>
    </xdr:from>
    <xdr:to>
      <xdr:col>15</xdr:col>
      <xdr:colOff>0</xdr:colOff>
      <xdr:row>32</xdr:row>
      <xdr:rowOff>144410</xdr:rowOff>
    </xdr:to>
    <xdr:cxnSp macro="">
      <xdr:nvCxnSpPr>
        <xdr:cNvPr id="52" name="Conector de Seta Reta 51">
          <a:extLst>
            <a:ext uri="{FF2B5EF4-FFF2-40B4-BE49-F238E27FC236}">
              <a16:creationId xmlns:a16="http://schemas.microsoft.com/office/drawing/2014/main" id="{00000000-0008-0000-0500-000034000000}"/>
            </a:ext>
          </a:extLst>
        </xdr:cNvPr>
        <xdr:cNvCxnSpPr/>
      </xdr:nvCxnSpPr>
      <xdr:spPr>
        <a:xfrm>
          <a:off x="898922" y="4966441"/>
          <a:ext cx="1779984" cy="0"/>
        </a:xfrm>
        <a:prstGeom prst="straightConnector1">
          <a:avLst/>
        </a:prstGeom>
        <a:ln w="6350" cmpd="sng">
          <a:solidFill>
            <a:schemeClr val="tx1"/>
          </a:solidFill>
          <a:headEnd type="none" w="med" len="lg"/>
          <a:tailEnd type="stealth" w="med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37</xdr:row>
      <xdr:rowOff>87924</xdr:rowOff>
    </xdr:from>
    <xdr:to>
      <xdr:col>15</xdr:col>
      <xdr:colOff>7327</xdr:colOff>
      <xdr:row>37</xdr:row>
      <xdr:rowOff>133643</xdr:rowOff>
    </xdr:to>
    <xdr:sp macro="" textlink="">
      <xdr:nvSpPr>
        <xdr:cNvPr id="13" name="CaixaDeTexto 12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 txBox="1"/>
      </xdr:nvSpPr>
      <xdr:spPr>
        <a:xfrm>
          <a:off x="2014904" y="6052039"/>
          <a:ext cx="740019" cy="45719"/>
        </a:xfrm>
        <a:prstGeom prst="rect">
          <a:avLst/>
        </a:prstGeom>
        <a:solidFill>
          <a:schemeClr val="lt1"/>
        </a:solidFill>
        <a:ln w="12700" cmpd="sng">
          <a:solidFill>
            <a:schemeClr val="bg2">
              <a:lumMod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pt-BR" sz="1100"/>
        </a:p>
      </xdr:txBody>
    </xdr:sp>
    <xdr:clientData/>
  </xdr:twoCellAnchor>
  <xdr:twoCellAnchor editAs="oneCell">
    <xdr:from>
      <xdr:col>10</xdr:col>
      <xdr:colOff>175846</xdr:colOff>
      <xdr:row>44</xdr:row>
      <xdr:rowOff>29308</xdr:rowOff>
    </xdr:from>
    <xdr:to>
      <xdr:col>15</xdr:col>
      <xdr:colOff>9854</xdr:colOff>
      <xdr:row>44</xdr:row>
      <xdr:rowOff>84177</xdr:rowOff>
    </xdr:to>
    <xdr:pic>
      <xdr:nvPicPr>
        <xdr:cNvPr id="36" name="Imagem 35">
          <a:extLst>
            <a:ext uri="{FF2B5EF4-FFF2-40B4-BE49-F238E27FC236}">
              <a16:creationId xmlns:a16="http://schemas.microsoft.com/office/drawing/2014/main" id="{00000000-0008-0000-0500-00002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07577" y="7121770"/>
          <a:ext cx="749873" cy="5486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85886</xdr:colOff>
      <xdr:row>25</xdr:row>
      <xdr:rowOff>0</xdr:rowOff>
    </xdr:from>
    <xdr:to>
      <xdr:col>24</xdr:col>
      <xdr:colOff>85886</xdr:colOff>
      <xdr:row>44</xdr:row>
      <xdr:rowOff>1415</xdr:rowOff>
    </xdr:to>
    <xdr:cxnSp macro="">
      <xdr:nvCxnSpPr>
        <xdr:cNvPr id="2" name="Conector de Seta Reta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CxnSpPr/>
      </xdr:nvCxnSpPr>
      <xdr:spPr>
        <a:xfrm>
          <a:off x="5100083" y="2349171"/>
          <a:ext cx="0" cy="1585625"/>
        </a:xfrm>
        <a:prstGeom prst="straightConnector1">
          <a:avLst/>
        </a:prstGeom>
        <a:ln w="6350" cmpd="sng">
          <a:solidFill>
            <a:schemeClr val="tx1"/>
          </a:solidFill>
          <a:headEnd type="stealth" w="med" len="lg"/>
          <a:tailEnd type="stealth" w="med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175172</xdr:colOff>
      <xdr:row>53</xdr:row>
      <xdr:rowOff>94222</xdr:rowOff>
    </xdr:from>
    <xdr:to>
      <xdr:col>44</xdr:col>
      <xdr:colOff>59222</xdr:colOff>
      <xdr:row>53</xdr:row>
      <xdr:rowOff>94222</xdr:rowOff>
    </xdr:to>
    <xdr:cxnSp macro="">
      <xdr:nvCxnSpPr>
        <xdr:cNvPr id="4" name="Conector de Seta Reta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CxnSpPr/>
      </xdr:nvCxnSpPr>
      <xdr:spPr>
        <a:xfrm>
          <a:off x="5954330" y="5138030"/>
          <a:ext cx="1562029" cy="0"/>
        </a:xfrm>
        <a:prstGeom prst="straightConnector1">
          <a:avLst/>
        </a:prstGeom>
        <a:ln w="6350" cmpd="sng">
          <a:solidFill>
            <a:schemeClr val="tx1"/>
          </a:solidFill>
          <a:headEnd type="stealth" w="med" len="lg"/>
          <a:tailEnd type="stealth" w="med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44417</xdr:colOff>
      <xdr:row>84</xdr:row>
      <xdr:rowOff>180894</xdr:rowOff>
    </xdr:from>
    <xdr:to>
      <xdr:col>5</xdr:col>
      <xdr:colOff>5953</xdr:colOff>
      <xdr:row>84</xdr:row>
      <xdr:rowOff>180894</xdr:rowOff>
    </xdr:to>
    <xdr:cxnSp macro="">
      <xdr:nvCxnSpPr>
        <xdr:cNvPr id="8" name="Conector de Seta Reta 7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CxnSpPr/>
      </xdr:nvCxnSpPr>
      <xdr:spPr>
        <a:xfrm>
          <a:off x="2373847" y="8368446"/>
          <a:ext cx="543894" cy="0"/>
        </a:xfrm>
        <a:prstGeom prst="straightConnector1">
          <a:avLst/>
        </a:prstGeom>
        <a:ln w="6350" cmpd="sng">
          <a:solidFill>
            <a:schemeClr val="tx1"/>
          </a:solidFill>
          <a:headEnd type="none" w="med" len="lg"/>
          <a:tailEnd type="stealth" w="med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24676</xdr:colOff>
      <xdr:row>84</xdr:row>
      <xdr:rowOff>180894</xdr:rowOff>
    </xdr:from>
    <xdr:to>
      <xdr:col>21</xdr:col>
      <xdr:colOff>9870</xdr:colOff>
      <xdr:row>84</xdr:row>
      <xdr:rowOff>180894</xdr:rowOff>
    </xdr:to>
    <xdr:cxnSp macro="">
      <xdr:nvCxnSpPr>
        <xdr:cNvPr id="10" name="Conector de Seta Reta 9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CxnSpPr/>
      </xdr:nvCxnSpPr>
      <xdr:spPr>
        <a:xfrm>
          <a:off x="3938316" y="8368446"/>
          <a:ext cx="537940" cy="0"/>
        </a:xfrm>
        <a:prstGeom prst="straightConnector1">
          <a:avLst/>
        </a:prstGeom>
        <a:ln w="6350" cmpd="sng">
          <a:solidFill>
            <a:schemeClr val="tx1"/>
          </a:solidFill>
          <a:headEnd type="none" w="med" len="lg"/>
          <a:tailEnd type="stealth" w="med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93769</xdr:colOff>
      <xdr:row>84</xdr:row>
      <xdr:rowOff>180894</xdr:rowOff>
    </xdr:from>
    <xdr:to>
      <xdr:col>29</xdr:col>
      <xdr:colOff>0</xdr:colOff>
      <xdr:row>84</xdr:row>
      <xdr:rowOff>180894</xdr:rowOff>
    </xdr:to>
    <xdr:cxnSp macro="">
      <xdr:nvCxnSpPr>
        <xdr:cNvPr id="17" name="Conector de Seta Reta 16">
          <a:extLst>
            <a:ext uri="{FF2B5EF4-FFF2-40B4-BE49-F238E27FC236}">
              <a16:creationId xmlns:a16="http://schemas.microsoft.com/office/drawing/2014/main" id="{00000000-0008-0000-0700-000011000000}"/>
            </a:ext>
          </a:extLst>
        </xdr:cNvPr>
        <xdr:cNvCxnSpPr/>
      </xdr:nvCxnSpPr>
      <xdr:spPr>
        <a:xfrm>
          <a:off x="5507720" y="8368446"/>
          <a:ext cx="454042" cy="0"/>
        </a:xfrm>
        <a:prstGeom prst="straightConnector1">
          <a:avLst/>
        </a:prstGeom>
        <a:ln w="6350" cmpd="sng">
          <a:solidFill>
            <a:schemeClr val="tx1"/>
          </a:solidFill>
          <a:headEnd type="none" w="med" len="lg"/>
          <a:tailEnd type="stealth" w="med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19741</xdr:colOff>
      <xdr:row>84</xdr:row>
      <xdr:rowOff>180894</xdr:rowOff>
    </xdr:from>
    <xdr:to>
      <xdr:col>45</xdr:col>
      <xdr:colOff>0</xdr:colOff>
      <xdr:row>84</xdr:row>
      <xdr:rowOff>180894</xdr:rowOff>
    </xdr:to>
    <xdr:cxnSp macro="">
      <xdr:nvCxnSpPr>
        <xdr:cNvPr id="21" name="Conector de Seta Reta 20">
          <a:extLst>
            <a:ext uri="{FF2B5EF4-FFF2-40B4-BE49-F238E27FC236}">
              <a16:creationId xmlns:a16="http://schemas.microsoft.com/office/drawing/2014/main" id="{00000000-0008-0000-0700-000015000000}"/>
            </a:ext>
          </a:extLst>
        </xdr:cNvPr>
        <xdr:cNvCxnSpPr/>
      </xdr:nvCxnSpPr>
      <xdr:spPr>
        <a:xfrm>
          <a:off x="7111671" y="8368446"/>
          <a:ext cx="404689" cy="0"/>
        </a:xfrm>
        <a:prstGeom prst="straightConnector1">
          <a:avLst/>
        </a:prstGeom>
        <a:ln w="6350" cmpd="sng">
          <a:solidFill>
            <a:schemeClr val="tx1"/>
          </a:solidFill>
          <a:headEnd type="none" w="med" len="lg"/>
          <a:tailEnd type="stealth" w="med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187538</xdr:colOff>
      <xdr:row>44</xdr:row>
      <xdr:rowOff>0</xdr:rowOff>
    </xdr:from>
    <xdr:to>
      <xdr:col>4</xdr:col>
      <xdr:colOff>187538</xdr:colOff>
      <xdr:row>63</xdr:row>
      <xdr:rowOff>4936</xdr:rowOff>
    </xdr:to>
    <xdr:cxnSp macro="">
      <xdr:nvCxnSpPr>
        <xdr:cNvPr id="24" name="Conector de Seta Reta 23">
          <a:extLst>
            <a:ext uri="{FF2B5EF4-FFF2-40B4-BE49-F238E27FC236}">
              <a16:creationId xmlns:a16="http://schemas.microsoft.com/office/drawing/2014/main" id="{00000000-0008-0000-0700-000018000000}"/>
            </a:ext>
          </a:extLst>
        </xdr:cNvPr>
        <xdr:cNvCxnSpPr/>
      </xdr:nvCxnSpPr>
      <xdr:spPr>
        <a:xfrm>
          <a:off x="2516968" y="3933381"/>
          <a:ext cx="0" cy="2349172"/>
        </a:xfrm>
        <a:prstGeom prst="straightConnector1">
          <a:avLst/>
        </a:prstGeom>
        <a:ln w="6350" cmpd="sng">
          <a:solidFill>
            <a:schemeClr val="tx1"/>
          </a:solidFill>
          <a:headEnd type="stealth" w="med" len="lg"/>
          <a:tailEnd type="stealth" w="med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197414</xdr:colOff>
      <xdr:row>24</xdr:row>
      <xdr:rowOff>118446</xdr:rowOff>
    </xdr:from>
    <xdr:to>
      <xdr:col>3</xdr:col>
      <xdr:colOff>197414</xdr:colOff>
      <xdr:row>82</xdr:row>
      <xdr:rowOff>4936</xdr:rowOff>
    </xdr:to>
    <xdr:cxnSp macro="">
      <xdr:nvCxnSpPr>
        <xdr:cNvPr id="26" name="Conector de Seta Reta 25">
          <a:extLst>
            <a:ext uri="{FF2B5EF4-FFF2-40B4-BE49-F238E27FC236}">
              <a16:creationId xmlns:a16="http://schemas.microsoft.com/office/drawing/2014/main" id="{00000000-0008-0000-0700-00001A000000}"/>
            </a:ext>
          </a:extLst>
        </xdr:cNvPr>
        <xdr:cNvCxnSpPr/>
      </xdr:nvCxnSpPr>
      <xdr:spPr>
        <a:xfrm>
          <a:off x="1944487" y="2344236"/>
          <a:ext cx="0" cy="5522526"/>
        </a:xfrm>
        <a:prstGeom prst="straightConnector1">
          <a:avLst/>
        </a:prstGeom>
        <a:ln w="6350" cmpd="sng">
          <a:solidFill>
            <a:schemeClr val="tx1"/>
          </a:solidFill>
          <a:headEnd type="stealth" w="med" len="lg"/>
          <a:tailEnd type="stealth" w="med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49354</xdr:colOff>
      <xdr:row>83</xdr:row>
      <xdr:rowOff>172734</xdr:rowOff>
    </xdr:from>
    <xdr:to>
      <xdr:col>29</xdr:col>
      <xdr:colOff>4935</xdr:colOff>
      <xdr:row>83</xdr:row>
      <xdr:rowOff>172734</xdr:rowOff>
    </xdr:to>
    <xdr:cxnSp macro="">
      <xdr:nvCxnSpPr>
        <xdr:cNvPr id="29" name="Conector de Seta Reta 28">
          <a:extLst>
            <a:ext uri="{FF2B5EF4-FFF2-40B4-BE49-F238E27FC236}">
              <a16:creationId xmlns:a16="http://schemas.microsoft.com/office/drawing/2014/main" id="{00000000-0008-0000-0700-00001D000000}"/>
            </a:ext>
          </a:extLst>
        </xdr:cNvPr>
        <xdr:cNvCxnSpPr/>
      </xdr:nvCxnSpPr>
      <xdr:spPr>
        <a:xfrm>
          <a:off x="4456517" y="8157941"/>
          <a:ext cx="1510180" cy="0"/>
        </a:xfrm>
        <a:prstGeom prst="straightConnector1">
          <a:avLst/>
        </a:prstGeom>
        <a:ln w="6350" cmpd="sng">
          <a:solidFill>
            <a:schemeClr val="tx1"/>
          </a:solidFill>
          <a:headEnd type="stealth" w="med" len="lg"/>
          <a:tailEnd type="stealth" w="med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577423</xdr:colOff>
      <xdr:row>85</xdr:row>
      <xdr:rowOff>182603</xdr:rowOff>
    </xdr:from>
    <xdr:to>
      <xdr:col>44</xdr:col>
      <xdr:colOff>54288</xdr:colOff>
      <xdr:row>85</xdr:row>
      <xdr:rowOff>182603</xdr:rowOff>
    </xdr:to>
    <xdr:cxnSp macro="">
      <xdr:nvCxnSpPr>
        <xdr:cNvPr id="31" name="Conector de Seta Reta 30">
          <a:extLst>
            <a:ext uri="{FF2B5EF4-FFF2-40B4-BE49-F238E27FC236}">
              <a16:creationId xmlns:a16="http://schemas.microsoft.com/office/drawing/2014/main" id="{00000000-0008-0000-0700-00001F000000}"/>
            </a:ext>
          </a:extLst>
        </xdr:cNvPr>
        <xdr:cNvCxnSpPr/>
      </xdr:nvCxnSpPr>
      <xdr:spPr>
        <a:xfrm>
          <a:off x="2906853" y="8572499"/>
          <a:ext cx="4604572" cy="0"/>
        </a:xfrm>
        <a:prstGeom prst="straightConnector1">
          <a:avLst/>
        </a:prstGeom>
        <a:ln w="6350" cmpd="sng">
          <a:solidFill>
            <a:schemeClr val="tx1"/>
          </a:solidFill>
          <a:headEnd type="stealth" w="med" len="lg"/>
          <a:tailEnd type="stealth" w="med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85886</xdr:colOff>
      <xdr:row>27</xdr:row>
      <xdr:rowOff>0</xdr:rowOff>
    </xdr:from>
    <xdr:to>
      <xdr:col>24</xdr:col>
      <xdr:colOff>85886</xdr:colOff>
      <xdr:row>46</xdr:row>
      <xdr:rowOff>1415</xdr:rowOff>
    </xdr:to>
    <xdr:cxnSp macro="">
      <xdr:nvCxnSpPr>
        <xdr:cNvPr id="2" name="Conector de Seta Reta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CxnSpPr/>
      </xdr:nvCxnSpPr>
      <xdr:spPr>
        <a:xfrm>
          <a:off x="5067461" y="5610225"/>
          <a:ext cx="0" cy="1573040"/>
        </a:xfrm>
        <a:prstGeom prst="straightConnector1">
          <a:avLst/>
        </a:prstGeom>
        <a:ln w="6350" cmpd="sng">
          <a:solidFill>
            <a:schemeClr val="tx1"/>
          </a:solidFill>
          <a:headEnd type="stealth" w="med" len="lg"/>
          <a:tailEnd type="stealth" w="med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175172</xdr:colOff>
      <xdr:row>55</xdr:row>
      <xdr:rowOff>94222</xdr:rowOff>
    </xdr:from>
    <xdr:to>
      <xdr:col>44</xdr:col>
      <xdr:colOff>59222</xdr:colOff>
      <xdr:row>55</xdr:row>
      <xdr:rowOff>94222</xdr:rowOff>
    </xdr:to>
    <xdr:cxnSp macro="">
      <xdr:nvCxnSpPr>
        <xdr:cNvPr id="3" name="Conector de Seta Reta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CxnSpPr/>
      </xdr:nvCxnSpPr>
      <xdr:spPr>
        <a:xfrm>
          <a:off x="5918747" y="8390497"/>
          <a:ext cx="1541400" cy="0"/>
        </a:xfrm>
        <a:prstGeom prst="straightConnector1">
          <a:avLst/>
        </a:prstGeom>
        <a:ln w="6350" cmpd="sng">
          <a:solidFill>
            <a:schemeClr val="tx1"/>
          </a:solidFill>
          <a:headEnd type="stealth" w="med" len="lg"/>
          <a:tailEnd type="stealth" w="med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44417</xdr:colOff>
      <xdr:row>86</xdr:row>
      <xdr:rowOff>180894</xdr:rowOff>
    </xdr:from>
    <xdr:to>
      <xdr:col>5</xdr:col>
      <xdr:colOff>5953</xdr:colOff>
      <xdr:row>86</xdr:row>
      <xdr:rowOff>180894</xdr:rowOff>
    </xdr:to>
    <xdr:cxnSp macro="">
      <xdr:nvCxnSpPr>
        <xdr:cNvPr id="4" name="Conector de Seta Reta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CxnSpPr/>
      </xdr:nvCxnSpPr>
      <xdr:spPr>
        <a:xfrm>
          <a:off x="2368517" y="11610894"/>
          <a:ext cx="542561" cy="0"/>
        </a:xfrm>
        <a:prstGeom prst="straightConnector1">
          <a:avLst/>
        </a:prstGeom>
        <a:ln w="6350" cmpd="sng">
          <a:solidFill>
            <a:schemeClr val="tx1"/>
          </a:solidFill>
          <a:headEnd type="none" w="med" len="lg"/>
          <a:tailEnd type="stealth" w="med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24676</xdr:colOff>
      <xdr:row>86</xdr:row>
      <xdr:rowOff>180894</xdr:rowOff>
    </xdr:from>
    <xdr:to>
      <xdr:col>21</xdr:col>
      <xdr:colOff>9870</xdr:colOff>
      <xdr:row>86</xdr:row>
      <xdr:rowOff>180894</xdr:rowOff>
    </xdr:to>
    <xdr:cxnSp macro="">
      <xdr:nvCxnSpPr>
        <xdr:cNvPr id="5" name="Conector de Seta Reta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CxnSpPr/>
      </xdr:nvCxnSpPr>
      <xdr:spPr>
        <a:xfrm>
          <a:off x="3920401" y="11610894"/>
          <a:ext cx="528119" cy="0"/>
        </a:xfrm>
        <a:prstGeom prst="straightConnector1">
          <a:avLst/>
        </a:prstGeom>
        <a:ln w="6350" cmpd="sng">
          <a:solidFill>
            <a:schemeClr val="tx1"/>
          </a:solidFill>
          <a:headEnd type="none" w="med" len="lg"/>
          <a:tailEnd type="stealth" w="med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93769</xdr:colOff>
      <xdr:row>86</xdr:row>
      <xdr:rowOff>180894</xdr:rowOff>
    </xdr:from>
    <xdr:to>
      <xdr:col>29</xdr:col>
      <xdr:colOff>0</xdr:colOff>
      <xdr:row>86</xdr:row>
      <xdr:rowOff>180894</xdr:rowOff>
    </xdr:to>
    <xdr:cxnSp macro="">
      <xdr:nvCxnSpPr>
        <xdr:cNvPr id="6" name="Conector de Seta Reta 5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CxnSpPr/>
      </xdr:nvCxnSpPr>
      <xdr:spPr>
        <a:xfrm>
          <a:off x="5475394" y="11610894"/>
          <a:ext cx="449156" cy="0"/>
        </a:xfrm>
        <a:prstGeom prst="straightConnector1">
          <a:avLst/>
        </a:prstGeom>
        <a:ln w="6350" cmpd="sng">
          <a:solidFill>
            <a:schemeClr val="tx1"/>
          </a:solidFill>
          <a:headEnd type="none" w="med" len="lg"/>
          <a:tailEnd type="stealth" w="med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19741</xdr:colOff>
      <xdr:row>86</xdr:row>
      <xdr:rowOff>180894</xdr:rowOff>
    </xdr:from>
    <xdr:to>
      <xdr:col>45</xdr:col>
      <xdr:colOff>0</xdr:colOff>
      <xdr:row>86</xdr:row>
      <xdr:rowOff>180894</xdr:rowOff>
    </xdr:to>
    <xdr:cxnSp macro="">
      <xdr:nvCxnSpPr>
        <xdr:cNvPr id="7" name="Conector de Seta Reta 6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CxnSpPr/>
      </xdr:nvCxnSpPr>
      <xdr:spPr>
        <a:xfrm>
          <a:off x="7058716" y="11610894"/>
          <a:ext cx="399359" cy="0"/>
        </a:xfrm>
        <a:prstGeom prst="straightConnector1">
          <a:avLst/>
        </a:prstGeom>
        <a:ln w="6350" cmpd="sng">
          <a:solidFill>
            <a:schemeClr val="tx1"/>
          </a:solidFill>
          <a:headEnd type="none" w="med" len="lg"/>
          <a:tailEnd type="stealth" w="med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187538</xdr:colOff>
      <xdr:row>46</xdr:row>
      <xdr:rowOff>0</xdr:rowOff>
    </xdr:from>
    <xdr:to>
      <xdr:col>4</xdr:col>
      <xdr:colOff>187538</xdr:colOff>
      <xdr:row>65</xdr:row>
      <xdr:rowOff>4936</xdr:rowOff>
    </xdr:to>
    <xdr:cxnSp macro="">
      <xdr:nvCxnSpPr>
        <xdr:cNvPr id="8" name="Conector de Seta Reta 7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CxnSpPr/>
      </xdr:nvCxnSpPr>
      <xdr:spPr>
        <a:xfrm>
          <a:off x="2511638" y="7181850"/>
          <a:ext cx="0" cy="2357611"/>
        </a:xfrm>
        <a:prstGeom prst="straightConnector1">
          <a:avLst/>
        </a:prstGeom>
        <a:ln w="6350" cmpd="sng">
          <a:solidFill>
            <a:schemeClr val="tx1"/>
          </a:solidFill>
          <a:headEnd type="stealth" w="med" len="lg"/>
          <a:tailEnd type="stealth" w="med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197414</xdr:colOff>
      <xdr:row>26</xdr:row>
      <xdr:rowOff>118446</xdr:rowOff>
    </xdr:from>
    <xdr:to>
      <xdr:col>3</xdr:col>
      <xdr:colOff>197414</xdr:colOff>
      <xdr:row>84</xdr:row>
      <xdr:rowOff>4936</xdr:rowOff>
    </xdr:to>
    <xdr:cxnSp macro="">
      <xdr:nvCxnSpPr>
        <xdr:cNvPr id="9" name="Conector de Seta Reta 8">
          <a:extLst>
            <a:ext uri="{FF2B5EF4-FFF2-40B4-BE49-F238E27FC236}">
              <a16:creationId xmlns:a16="http://schemas.microsoft.com/office/drawing/2014/main" id="{00000000-0008-0000-0800-000009000000}"/>
            </a:ext>
          </a:extLst>
        </xdr:cNvPr>
        <xdr:cNvCxnSpPr/>
      </xdr:nvCxnSpPr>
      <xdr:spPr>
        <a:xfrm>
          <a:off x="1940489" y="5604846"/>
          <a:ext cx="0" cy="5506240"/>
        </a:xfrm>
        <a:prstGeom prst="straightConnector1">
          <a:avLst/>
        </a:prstGeom>
        <a:ln w="6350" cmpd="sng">
          <a:solidFill>
            <a:schemeClr val="tx1"/>
          </a:solidFill>
          <a:headEnd type="stealth" w="med" len="lg"/>
          <a:tailEnd type="stealth" w="med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49354</xdr:colOff>
      <xdr:row>85</xdr:row>
      <xdr:rowOff>172734</xdr:rowOff>
    </xdr:from>
    <xdr:to>
      <xdr:col>29</xdr:col>
      <xdr:colOff>4935</xdr:colOff>
      <xdr:row>85</xdr:row>
      <xdr:rowOff>172734</xdr:rowOff>
    </xdr:to>
    <xdr:cxnSp macro="">
      <xdr:nvCxnSpPr>
        <xdr:cNvPr id="10" name="Conector de Seta Reta 9">
          <a:extLst>
            <a:ext uri="{FF2B5EF4-FFF2-40B4-BE49-F238E27FC236}">
              <a16:creationId xmlns:a16="http://schemas.microsoft.com/office/drawing/2014/main" id="{00000000-0008-0000-0800-00000A000000}"/>
            </a:ext>
          </a:extLst>
        </xdr:cNvPr>
        <xdr:cNvCxnSpPr/>
      </xdr:nvCxnSpPr>
      <xdr:spPr>
        <a:xfrm>
          <a:off x="4430854" y="11402709"/>
          <a:ext cx="1498631" cy="0"/>
        </a:xfrm>
        <a:prstGeom prst="straightConnector1">
          <a:avLst/>
        </a:prstGeom>
        <a:ln w="6350" cmpd="sng">
          <a:solidFill>
            <a:schemeClr val="tx1"/>
          </a:solidFill>
          <a:headEnd type="stealth" w="med" len="lg"/>
          <a:tailEnd type="stealth" w="med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577423</xdr:colOff>
      <xdr:row>87</xdr:row>
      <xdr:rowOff>182603</xdr:rowOff>
    </xdr:from>
    <xdr:to>
      <xdr:col>44</xdr:col>
      <xdr:colOff>54288</xdr:colOff>
      <xdr:row>87</xdr:row>
      <xdr:rowOff>182603</xdr:rowOff>
    </xdr:to>
    <xdr:cxnSp macro="">
      <xdr:nvCxnSpPr>
        <xdr:cNvPr id="11" name="Conector de Seta Reta 10">
          <a:extLst>
            <a:ext uri="{FF2B5EF4-FFF2-40B4-BE49-F238E27FC236}">
              <a16:creationId xmlns:a16="http://schemas.microsoft.com/office/drawing/2014/main" id="{00000000-0008-0000-0800-00000B000000}"/>
            </a:ext>
          </a:extLst>
        </xdr:cNvPr>
        <xdr:cNvCxnSpPr/>
      </xdr:nvCxnSpPr>
      <xdr:spPr>
        <a:xfrm>
          <a:off x="2901523" y="11812628"/>
          <a:ext cx="4553690" cy="0"/>
        </a:xfrm>
        <a:prstGeom prst="straightConnector1">
          <a:avLst/>
        </a:prstGeom>
        <a:ln w="6350" cmpd="sng">
          <a:solidFill>
            <a:schemeClr val="tx1"/>
          </a:solidFill>
          <a:headEnd type="stealth" w="med" len="lg"/>
          <a:tailEnd type="stealth" w="med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22</xdr:col>
      <xdr:colOff>174776</xdr:colOff>
      <xdr:row>3</xdr:row>
      <xdr:rowOff>104866</xdr:rowOff>
    </xdr:from>
    <xdr:to>
      <xdr:col>42</xdr:col>
      <xdr:colOff>67362</xdr:colOff>
      <xdr:row>6</xdr:row>
      <xdr:rowOff>117951</xdr:rowOff>
    </xdr:to>
    <xdr:pic>
      <xdr:nvPicPr>
        <xdr:cNvPr id="13" name="Imagem 12">
          <a:extLst>
            <a:ext uri="{FF2B5EF4-FFF2-40B4-BE49-F238E27FC236}">
              <a16:creationId xmlns:a16="http://schemas.microsoft.com/office/drawing/2014/main" id="{00000000-0008-0000-0800-00000D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88721" y="1013673"/>
          <a:ext cx="2487930" cy="69469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ABFB6-23CC-46BE-9DE8-31FFC103EF12}">
  <dimension ref="A1:FG1048576"/>
  <sheetViews>
    <sheetView showGridLines="0" tabSelected="1" topLeftCell="A15" zoomScale="70" zoomScaleNormal="70" workbookViewId="0">
      <selection activeCell="AP23" sqref="AP23:AQ23"/>
    </sheetView>
  </sheetViews>
  <sheetFormatPr defaultColWidth="3.7109375" defaultRowHeight="18" customHeight="1"/>
  <cols>
    <col min="1" max="24" width="3.85546875" style="109" customWidth="1"/>
    <col min="25" max="25" width="3.7109375" style="109"/>
    <col min="26" max="26" width="3.7109375" style="109" customWidth="1"/>
    <col min="27" max="27" width="4" style="109" bestFit="1" customWidth="1"/>
    <col min="28" max="28" width="3.7109375" style="109" customWidth="1"/>
    <col min="29" max="29" width="3.7109375" style="109"/>
    <col min="30" max="34" width="3.7109375" style="109" customWidth="1"/>
    <col min="35" max="37" width="3.7109375" style="109"/>
    <col min="38" max="38" width="3.85546875" style="109" bestFit="1" customWidth="1"/>
    <col min="39" max="39" width="3.7109375" style="109" customWidth="1"/>
    <col min="40" max="41" width="3.7109375" style="109"/>
    <col min="42" max="44" width="3.7109375" style="109" customWidth="1"/>
    <col min="45" max="46" width="3.85546875" style="109" customWidth="1"/>
    <col min="47" max="47" width="3.7109375" style="109" customWidth="1"/>
    <col min="48" max="48" width="4" style="109" customWidth="1"/>
    <col min="49" max="50" width="3.85546875" style="109" customWidth="1"/>
    <col min="51" max="53" width="3.7109375" style="109"/>
    <col min="54" max="55" width="3.85546875" style="109" bestFit="1" customWidth="1"/>
    <col min="56" max="57" width="3.7109375" style="109"/>
    <col min="58" max="58" width="3.7109375" style="109" customWidth="1"/>
    <col min="59" max="61" width="3.7109375" style="109"/>
    <col min="62" max="62" width="4.85546875" style="109" customWidth="1"/>
    <col min="63" max="64" width="3.7109375" style="109"/>
    <col min="65" max="65" width="4.42578125" style="109" bestFit="1" customWidth="1"/>
    <col min="66" max="68" width="3.7109375" style="109"/>
    <col min="69" max="69" width="4" style="109" bestFit="1" customWidth="1"/>
    <col min="70" max="70" width="5" style="109" bestFit="1" customWidth="1"/>
    <col min="71" max="141" width="3.7109375" style="109"/>
    <col min="142" max="142" width="3.7109375" style="109" customWidth="1"/>
    <col min="143" max="16384" width="3.7109375" style="109"/>
  </cols>
  <sheetData>
    <row r="1" spans="1:163" ht="24" customHeight="1">
      <c r="B1" s="332" t="s">
        <v>29</v>
      </c>
      <c r="C1" s="332"/>
      <c r="D1" s="332"/>
      <c r="E1" s="332"/>
      <c r="F1" s="332"/>
      <c r="G1" s="332"/>
      <c r="H1" s="332"/>
      <c r="I1" s="332"/>
      <c r="J1" s="332"/>
      <c r="K1" s="332"/>
      <c r="L1" s="332"/>
      <c r="M1" s="332"/>
      <c r="N1" s="332"/>
      <c r="O1" s="332"/>
      <c r="P1" s="332"/>
      <c r="Q1" s="332"/>
      <c r="R1" s="332"/>
      <c r="S1" s="332"/>
      <c r="T1" s="332"/>
      <c r="U1" s="332"/>
      <c r="V1" s="332"/>
      <c r="W1" s="332"/>
      <c r="X1" s="332"/>
      <c r="Y1" s="108"/>
      <c r="Z1" s="108"/>
      <c r="AB1" s="148" t="str">
        <f>IF(A2="","","Fabricação manual caso:")</f>
        <v/>
      </c>
      <c r="AJ1" s="105"/>
      <c r="AK1" s="105"/>
      <c r="AL1" s="102"/>
      <c r="AM1" s="103" t="s">
        <v>128</v>
      </c>
      <c r="AN1" s="102"/>
      <c r="AO1" s="102"/>
      <c r="AP1" s="102"/>
      <c r="AQ1" s="102"/>
      <c r="AR1" s="102"/>
      <c r="AS1" s="102"/>
      <c r="AT1" s="103" t="s">
        <v>134</v>
      </c>
      <c r="AU1" s="103"/>
      <c r="AV1" s="103"/>
      <c r="AX1" s="102"/>
      <c r="AY1" s="103" t="s">
        <v>180</v>
      </c>
      <c r="AZ1" s="105"/>
      <c r="BA1" s="105"/>
      <c r="BB1" s="105"/>
      <c r="BC1" s="103" t="s">
        <v>140</v>
      </c>
      <c r="BD1" s="105"/>
      <c r="BE1" s="105"/>
      <c r="BG1" s="105"/>
      <c r="BH1" s="103" t="s">
        <v>169</v>
      </c>
      <c r="BK1" s="102"/>
      <c r="BL1" s="103" t="s">
        <v>179</v>
      </c>
      <c r="BM1" s="103"/>
      <c r="BQ1" s="105"/>
      <c r="BR1" s="103" t="s">
        <v>187</v>
      </c>
      <c r="BW1" s="102"/>
      <c r="BX1" s="103" t="s">
        <v>190</v>
      </c>
      <c r="BY1" s="103"/>
      <c r="CB1" s="103" t="s">
        <v>564</v>
      </c>
      <c r="CF1" s="103" t="s">
        <v>563</v>
      </c>
      <c r="DA1" s="103" t="s">
        <v>562</v>
      </c>
      <c r="DW1" s="103" t="s">
        <v>584</v>
      </c>
      <c r="EA1" s="103" t="s">
        <v>585</v>
      </c>
    </row>
    <row r="2" spans="1:163" ht="18" customHeight="1">
      <c r="A2" s="282" t="str">
        <f>IF(OR(AN11&gt;5,H37&gt;158,K24&gt;203,AP24&gt;762,AN24&lt;160),"TC PRECISA SER FABRICADO MANUALMENTE (PROCESSO ANTIGO): NÃO USAR ESTA PLANILHA","")</f>
        <v/>
      </c>
      <c r="B2" s="281"/>
      <c r="C2" s="281"/>
      <c r="D2" s="281"/>
      <c r="E2" s="281"/>
      <c r="F2" s="281"/>
      <c r="G2" s="281"/>
      <c r="H2" s="281"/>
      <c r="I2" s="281"/>
      <c r="J2" s="281"/>
      <c r="K2" s="281"/>
      <c r="L2" s="281"/>
      <c r="M2" s="281"/>
      <c r="N2" s="281"/>
      <c r="O2" s="281"/>
      <c r="P2" s="281"/>
      <c r="Q2" s="281"/>
      <c r="R2" s="281"/>
      <c r="S2" s="281"/>
      <c r="T2" s="281"/>
      <c r="U2" s="281"/>
      <c r="V2" s="281"/>
      <c r="W2" s="281"/>
      <c r="X2" s="281"/>
      <c r="Y2" s="108"/>
      <c r="Z2" s="108"/>
      <c r="AB2" s="148" t="str">
        <f>IF(A2="","","Diâmetro do fio &gt; 5mm")</f>
        <v/>
      </c>
      <c r="AJ2" s="105"/>
      <c r="AK2" s="105"/>
      <c r="AL2" s="104">
        <v>1</v>
      </c>
      <c r="AM2" s="105" t="s">
        <v>151</v>
      </c>
      <c r="AN2" s="102"/>
      <c r="AO2" s="102"/>
      <c r="AP2" s="102"/>
      <c r="AQ2" s="102"/>
      <c r="AR2" s="102"/>
      <c r="AS2" s="104">
        <v>1</v>
      </c>
      <c r="AT2" s="105" t="s">
        <v>135</v>
      </c>
      <c r="AU2" s="105"/>
      <c r="AV2" s="105"/>
      <c r="AX2" s="104">
        <v>1</v>
      </c>
      <c r="AY2" s="105" t="s">
        <v>182</v>
      </c>
      <c r="AZ2" s="105"/>
      <c r="BA2" s="105"/>
      <c r="BB2" s="104">
        <v>1</v>
      </c>
      <c r="BC2" s="105" t="s">
        <v>141</v>
      </c>
      <c r="BD2" s="105"/>
      <c r="BE2" s="105"/>
      <c r="BG2" s="104">
        <v>1</v>
      </c>
      <c r="BH2" s="105" t="s">
        <v>203</v>
      </c>
      <c r="BK2" s="104">
        <v>1</v>
      </c>
      <c r="BL2" s="105">
        <v>1</v>
      </c>
      <c r="BM2" s="105"/>
      <c r="BQ2" s="104">
        <v>1</v>
      </c>
      <c r="BR2" s="109">
        <f t="shared" ref="BR2:BR3" si="0">BS2+BT2+BU2</f>
        <v>25</v>
      </c>
      <c r="BS2" s="109">
        <v>25</v>
      </c>
      <c r="BT2" s="109">
        <v>0</v>
      </c>
      <c r="BU2" s="109">
        <v>0</v>
      </c>
      <c r="BW2" s="104">
        <v>1</v>
      </c>
      <c r="BX2" s="105" t="s">
        <v>191</v>
      </c>
      <c r="BY2" s="105"/>
      <c r="CB2" s="104">
        <v>1</v>
      </c>
      <c r="CC2" s="109" t="str">
        <f t="shared" ref="CC2:CC12" si="1">IF($AT$4=1,IF($AM$6=1,DA3,IF($AM$6=2,DG3,IF($AM$6=3,DL3,DQ3))),IF($AM$6=1,CF3,IF($AM$6=2,CL3,IF($AM$6=3,CQ3,CV3))))</f>
        <v>0.15N</v>
      </c>
      <c r="CF2" s="105" t="s">
        <v>151</v>
      </c>
      <c r="CL2" s="105" t="s">
        <v>150</v>
      </c>
      <c r="CQ2" s="105" t="s">
        <v>469</v>
      </c>
      <c r="CV2" s="105" t="s">
        <v>481</v>
      </c>
      <c r="DA2" s="105" t="s">
        <v>151</v>
      </c>
      <c r="DG2" s="105" t="s">
        <v>150</v>
      </c>
      <c r="DL2" s="105" t="s">
        <v>469</v>
      </c>
      <c r="DQ2" s="105" t="s">
        <v>481</v>
      </c>
      <c r="DW2" s="104">
        <v>1</v>
      </c>
      <c r="DX2" s="109" t="str">
        <f>IF($AM$6=1,EA3,IF($AM$6=2,IF($AT$4=2,EG3,EL3),IF($AM$6=3,IF($G$7=1,EV3,EQ3),IF($AT$4=2,FA3,FG3))))</f>
        <v>B-0.1</v>
      </c>
      <c r="EA2" s="105" t="s">
        <v>151</v>
      </c>
      <c r="EG2" s="258" t="s">
        <v>566</v>
      </c>
      <c r="EL2" s="258" t="s">
        <v>565</v>
      </c>
      <c r="EQ2" s="258" t="s">
        <v>619</v>
      </c>
      <c r="EV2" s="258" t="s">
        <v>616</v>
      </c>
      <c r="FA2" s="258" t="s">
        <v>617</v>
      </c>
      <c r="FG2" s="258" t="s">
        <v>618</v>
      </c>
    </row>
    <row r="3" spans="1:163" ht="18" customHeight="1">
      <c r="C3" s="110" t="s">
        <v>127</v>
      </c>
      <c r="D3" s="108"/>
      <c r="E3" s="108"/>
      <c r="F3" s="108"/>
      <c r="G3" s="108"/>
      <c r="I3" s="110"/>
      <c r="J3" s="110"/>
      <c r="L3" s="110" t="s">
        <v>133</v>
      </c>
      <c r="M3" s="101"/>
      <c r="N3" s="101"/>
      <c r="O3" s="101"/>
      <c r="P3" s="101"/>
      <c r="Q3" s="101"/>
      <c r="R3" s="101"/>
      <c r="S3" s="110" t="s">
        <v>154</v>
      </c>
      <c r="T3" s="336" t="s">
        <v>625</v>
      </c>
      <c r="U3" s="337"/>
      <c r="V3" s="337"/>
      <c r="W3" s="337"/>
      <c r="X3" s="338"/>
      <c r="Y3" s="108"/>
      <c r="Z3" s="108"/>
      <c r="AB3" s="148" t="str">
        <f>IF(A2="","","Massa total do TC &gt; 158kg")</f>
        <v/>
      </c>
      <c r="AK3" s="105"/>
      <c r="AL3" s="104">
        <f>AL2+1</f>
        <v>2</v>
      </c>
      <c r="AM3" s="105" t="s">
        <v>150</v>
      </c>
      <c r="AN3" s="102"/>
      <c r="AO3" s="102"/>
      <c r="AP3" s="102"/>
      <c r="AQ3" s="102"/>
      <c r="AR3" s="102"/>
      <c r="AS3" s="104">
        <f>AS2+1</f>
        <v>2</v>
      </c>
      <c r="AT3" s="105" t="s">
        <v>136</v>
      </c>
      <c r="AU3" s="105"/>
      <c r="AV3" s="105"/>
      <c r="AX3" s="104">
        <f>AX2+1</f>
        <v>2</v>
      </c>
      <c r="AY3" s="105" t="s">
        <v>185</v>
      </c>
      <c r="AZ3" s="105"/>
      <c r="BA3" s="105"/>
      <c r="BB3" s="104">
        <f>BB2+1</f>
        <v>2</v>
      </c>
      <c r="BC3" s="105" t="s">
        <v>145</v>
      </c>
      <c r="BD3" s="105"/>
      <c r="BE3" s="105"/>
      <c r="BG3" s="104">
        <f>BG2+1</f>
        <v>2</v>
      </c>
      <c r="BH3" s="105" t="s">
        <v>170</v>
      </c>
      <c r="BK3" s="104">
        <f>BK2+1</f>
        <v>2</v>
      </c>
      <c r="BL3" s="105">
        <v>2</v>
      </c>
      <c r="BM3" s="105"/>
      <c r="BP3" s="109">
        <f t="shared" ref="BP3:BP11" si="2">BR3-BR2</f>
        <v>10</v>
      </c>
      <c r="BQ3" s="104">
        <f t="shared" ref="BQ3:BQ10" si="3">BQ2+1</f>
        <v>2</v>
      </c>
      <c r="BR3" s="109">
        <f t="shared" si="0"/>
        <v>35</v>
      </c>
      <c r="BS3" s="109">
        <v>35</v>
      </c>
      <c r="BT3" s="109">
        <v>0</v>
      </c>
      <c r="BU3" s="109">
        <v>0</v>
      </c>
      <c r="BW3" s="104">
        <f>BW2+1</f>
        <v>2</v>
      </c>
      <c r="BX3" s="105" t="s">
        <v>192</v>
      </c>
      <c r="BY3" s="105"/>
      <c r="CB3" s="104">
        <f t="shared" ref="CB3:CB12" si="4">CB2+1</f>
        <v>2</v>
      </c>
      <c r="CC3" s="109" t="str">
        <f t="shared" si="1"/>
        <v>0.15S</v>
      </c>
      <c r="CF3" s="109">
        <f>'Classes por Norma'!C17</f>
        <v>0.1</v>
      </c>
      <c r="CL3" s="109" t="str">
        <f>'Classes por Norma'!C52</f>
        <v>0.15N</v>
      </c>
      <c r="CQ3" s="109">
        <f>'Classes por Norma'!C119</f>
        <v>0.3</v>
      </c>
      <c r="CV3" s="109">
        <f>'Classes por Norma'!C163</f>
        <v>0.3</v>
      </c>
      <c r="DA3" s="109" t="str">
        <f>'Classes por Norma'!C32</f>
        <v>5P5</v>
      </c>
      <c r="DG3" s="252" t="s">
        <v>72</v>
      </c>
      <c r="DL3" s="109" t="str">
        <f>'Classes por Norma'!C131</f>
        <v>5P5</v>
      </c>
      <c r="DQ3" s="252" t="s">
        <v>491</v>
      </c>
      <c r="DW3" s="104">
        <f t="shared" ref="DW3:DW11" si="5">DW2+1</f>
        <v>2</v>
      </c>
      <c r="DX3" s="109" t="str">
        <f t="shared" ref="DX3:DX11" si="6">IF($AM$6=1,EA4,IF($AM$6=2,IF($AT$4=2,EG4,EL4),IF($AM$6=3,IF($G$7=1,EV4,EQ4),IF($AT$4=2,FA4,FG4))))</f>
        <v>B-0.2</v>
      </c>
      <c r="EA3" s="109">
        <f>'Classes por Norma'!C7</f>
        <v>2.5</v>
      </c>
      <c r="EG3" s="109" t="str">
        <f>'Classes por Norma'!C65</f>
        <v>B-0.1</v>
      </c>
      <c r="EL3" s="255">
        <f>'Classes por Norma'!J81</f>
        <v>10</v>
      </c>
      <c r="EQ3" s="109">
        <f>'Classes por Norma'!C95</f>
        <v>2.5</v>
      </c>
      <c r="EV3" s="109">
        <f>'Classes por Norma'!C107</f>
        <v>1</v>
      </c>
      <c r="FA3" s="252">
        <f>'Classes por Norma'!D148</f>
        <v>2.5</v>
      </c>
      <c r="FG3" s="252">
        <f>'Classes por Norma'!E148</f>
        <v>10</v>
      </c>
    </row>
    <row r="4" spans="1:163" ht="18" customHeight="1">
      <c r="B4" s="102"/>
      <c r="C4" s="110"/>
      <c r="D4" s="108"/>
      <c r="E4" s="108"/>
      <c r="F4" s="108"/>
      <c r="G4" s="108"/>
      <c r="I4" s="110"/>
      <c r="J4" s="110"/>
      <c r="L4" s="110"/>
      <c r="M4" s="101"/>
      <c r="N4" s="101"/>
      <c r="O4" s="101"/>
      <c r="P4" s="101"/>
      <c r="Q4" s="101"/>
      <c r="R4" s="101"/>
      <c r="S4" s="110"/>
      <c r="T4" s="101"/>
      <c r="U4" s="101"/>
      <c r="V4" s="101"/>
      <c r="W4" s="101"/>
      <c r="X4" s="101"/>
      <c r="Y4" s="108"/>
      <c r="Z4" s="108"/>
      <c r="AB4" s="148" t="str">
        <f>IF(A2="","","Largura total do TC &gt; 203mm")</f>
        <v/>
      </c>
      <c r="AJ4" s="105"/>
      <c r="AK4" s="105"/>
      <c r="AL4" s="104">
        <f>AL3+1</f>
        <v>3</v>
      </c>
      <c r="AM4" s="258" t="s">
        <v>469</v>
      </c>
      <c r="AN4" s="102"/>
      <c r="AO4" s="102"/>
      <c r="AP4" s="102"/>
      <c r="AQ4" s="102"/>
      <c r="AR4" s="102"/>
      <c r="AS4" s="105"/>
      <c r="AT4" s="106">
        <v>2</v>
      </c>
      <c r="AU4" s="107"/>
      <c r="AV4" s="107"/>
      <c r="AX4" s="105"/>
      <c r="AY4" s="106">
        <v>1</v>
      </c>
      <c r="AZ4" s="105"/>
      <c r="BA4" s="105"/>
      <c r="BB4" s="104">
        <f>BB3+1</f>
        <v>3</v>
      </c>
      <c r="BC4" s="105" t="s">
        <v>146</v>
      </c>
      <c r="BD4" s="105"/>
      <c r="BE4" s="105"/>
      <c r="BG4" s="104">
        <f>BG3+1</f>
        <v>3</v>
      </c>
      <c r="BH4" s="105" t="s">
        <v>171</v>
      </c>
      <c r="BK4" s="105"/>
      <c r="BL4" s="106">
        <v>1</v>
      </c>
      <c r="BM4" s="107"/>
      <c r="BP4" s="109">
        <f t="shared" si="2"/>
        <v>5</v>
      </c>
      <c r="BQ4" s="104">
        <f t="shared" si="3"/>
        <v>3</v>
      </c>
      <c r="BR4" s="109">
        <v>40</v>
      </c>
      <c r="BS4" s="109">
        <v>40</v>
      </c>
      <c r="BT4" s="109">
        <v>0</v>
      </c>
      <c r="BU4" s="109">
        <v>0</v>
      </c>
      <c r="BW4" s="105"/>
      <c r="BX4" s="106">
        <v>2</v>
      </c>
      <c r="BY4" s="107"/>
      <c r="CB4" s="104">
        <f t="shared" si="4"/>
        <v>3</v>
      </c>
      <c r="CC4" s="109">
        <f t="shared" si="1"/>
        <v>0.15</v>
      </c>
      <c r="CF4" s="109">
        <f>'Classes por Norma'!C18</f>
        <v>0.2</v>
      </c>
      <c r="CL4" s="109" t="str">
        <f>'Classes por Norma'!C53</f>
        <v>0.15S</v>
      </c>
      <c r="CQ4" s="109" t="str">
        <f>'Classes por Norma'!C120</f>
        <v>0.3S</v>
      </c>
      <c r="CV4" s="109">
        <f>'Classes por Norma'!C164</f>
        <v>0.6</v>
      </c>
      <c r="DA4" s="109" t="str">
        <f>'Classes por Norma'!C33</f>
        <v>5P10</v>
      </c>
      <c r="DG4" s="252" t="s">
        <v>72</v>
      </c>
      <c r="DL4" s="109" t="str">
        <f>'Classes por Norma'!C132</f>
        <v>5P10</v>
      </c>
      <c r="DQ4" s="252" t="s">
        <v>491</v>
      </c>
      <c r="DW4" s="104">
        <f t="shared" si="5"/>
        <v>3</v>
      </c>
      <c r="DX4" s="109" t="str">
        <f t="shared" si="6"/>
        <v>B-0.5</v>
      </c>
      <c r="EA4" s="109">
        <f>'Classes por Norma'!C8</f>
        <v>5</v>
      </c>
      <c r="EG4" s="109" t="str">
        <f>'Classes por Norma'!C66</f>
        <v>B-0.2</v>
      </c>
      <c r="EL4" s="255">
        <f>'Classes por Norma'!J82</f>
        <v>20</v>
      </c>
      <c r="EQ4" s="109">
        <f>'Classes por Norma'!C96</f>
        <v>5</v>
      </c>
      <c r="EV4" s="109">
        <f>'Classes por Norma'!C108</f>
        <v>2.5</v>
      </c>
      <c r="FA4" s="252">
        <f>'Classes por Norma'!D149</f>
        <v>5</v>
      </c>
      <c r="FG4" s="252">
        <f>'Classes por Norma'!E149</f>
        <v>20</v>
      </c>
    </row>
    <row r="5" spans="1:163" ht="18" customHeight="1">
      <c r="C5" s="110" t="s">
        <v>142</v>
      </c>
      <c r="D5" s="111">
        <v>60</v>
      </c>
      <c r="E5" s="105" t="s">
        <v>114</v>
      </c>
      <c r="J5" s="110" t="s">
        <v>149</v>
      </c>
      <c r="K5" s="111">
        <v>3</v>
      </c>
      <c r="L5" s="102"/>
      <c r="M5" s="102"/>
      <c r="N5" s="105"/>
      <c r="O5" s="110" t="s">
        <v>137</v>
      </c>
      <c r="P5" s="334" t="str">
        <f>"13"&amp;IF(K5&gt;1," ~ "&amp;K5-1+1+12,"")</f>
        <v>13 ~ 15</v>
      </c>
      <c r="Q5" s="334"/>
      <c r="R5" s="334"/>
      <c r="T5" s="108"/>
      <c r="U5" s="110" t="s">
        <v>138</v>
      </c>
      <c r="V5" s="335" t="s">
        <v>626</v>
      </c>
      <c r="W5" s="334"/>
      <c r="X5" s="334"/>
      <c r="Y5" s="108"/>
      <c r="Z5" s="108"/>
      <c r="AB5" s="148" t="str">
        <f>IF(A2="","","Diâmetro externo do TC &gt; 762mm")</f>
        <v/>
      </c>
      <c r="AJ5" s="105"/>
      <c r="AK5" s="105"/>
      <c r="AL5" s="104">
        <f>AL4+1</f>
        <v>4</v>
      </c>
      <c r="AM5" s="258" t="s">
        <v>481</v>
      </c>
      <c r="AN5" s="102"/>
      <c r="AO5" s="102"/>
      <c r="AP5" s="102"/>
      <c r="AQ5" s="102"/>
      <c r="AR5" s="102"/>
      <c r="AS5" s="102"/>
      <c r="AT5" s="102"/>
      <c r="AU5" s="102"/>
      <c r="AV5" s="102"/>
      <c r="AY5" s="105"/>
      <c r="AZ5" s="105"/>
      <c r="BA5" s="105"/>
      <c r="BB5" s="104">
        <f>BB4+1</f>
        <v>4</v>
      </c>
      <c r="BC5" s="105" t="s">
        <v>147</v>
      </c>
      <c r="BD5" s="105"/>
      <c r="BE5" s="105"/>
      <c r="BG5" s="104">
        <f>BG4+1</f>
        <v>4</v>
      </c>
      <c r="BH5" s="105" t="s">
        <v>172</v>
      </c>
      <c r="BP5" s="109">
        <f t="shared" si="2"/>
        <v>10</v>
      </c>
      <c r="BQ5" s="104">
        <f t="shared" si="3"/>
        <v>4</v>
      </c>
      <c r="BR5" s="109">
        <f>BS5+BT5+BU5</f>
        <v>50</v>
      </c>
      <c r="BS5" s="109">
        <v>25</v>
      </c>
      <c r="BT5" s="109">
        <v>25</v>
      </c>
      <c r="BU5" s="109">
        <v>0</v>
      </c>
      <c r="BW5" s="102"/>
      <c r="BX5" s="102"/>
      <c r="BY5" s="102"/>
      <c r="CB5" s="104">
        <f t="shared" si="4"/>
        <v>4</v>
      </c>
      <c r="CC5" s="109" t="str">
        <f t="shared" si="1"/>
        <v>0.3S</v>
      </c>
      <c r="CF5" s="109" t="str">
        <f>'Classes por Norma'!C19</f>
        <v>0.2S</v>
      </c>
      <c r="CL5" s="109">
        <f>'Classes por Norma'!C54</f>
        <v>0.15</v>
      </c>
      <c r="CQ5" s="109">
        <f>'Classes por Norma'!C121</f>
        <v>0.6</v>
      </c>
      <c r="CV5" s="109">
        <f>'Classes por Norma'!C165</f>
        <v>1.2</v>
      </c>
      <c r="DA5" s="109" t="str">
        <f>'Classes por Norma'!C34</f>
        <v>5P15</v>
      </c>
      <c r="DG5" s="252" t="s">
        <v>72</v>
      </c>
      <c r="DL5" s="109" t="str">
        <f>'Classes por Norma'!C133</f>
        <v>5P15</v>
      </c>
      <c r="DQ5" s="252" t="s">
        <v>491</v>
      </c>
      <c r="DW5" s="104">
        <f t="shared" si="5"/>
        <v>4</v>
      </c>
      <c r="DX5" s="109" t="str">
        <f t="shared" si="6"/>
        <v>B-0.9</v>
      </c>
      <c r="EA5" s="109">
        <f>'Classes por Norma'!C9</f>
        <v>10</v>
      </c>
      <c r="EG5" s="109" t="str">
        <f>'Classes por Norma'!C67</f>
        <v>B-0.5</v>
      </c>
      <c r="EL5" s="255">
        <f>'Classes por Norma'!J83</f>
        <v>50</v>
      </c>
      <c r="EQ5" s="109">
        <f>'Classes por Norma'!C97</f>
        <v>12.5</v>
      </c>
      <c r="EV5" s="109">
        <f>'Classes por Norma'!C109</f>
        <v>4</v>
      </c>
      <c r="FA5" s="252">
        <f>'Classes por Norma'!D150</f>
        <v>12.5</v>
      </c>
      <c r="FG5" s="252">
        <f>'Classes por Norma'!E150</f>
        <v>50</v>
      </c>
    </row>
    <row r="6" spans="1:163" ht="18" customHeight="1">
      <c r="Q6" s="101"/>
      <c r="R6" s="101"/>
      <c r="S6" s="110"/>
      <c r="T6" s="101"/>
      <c r="U6" s="101"/>
      <c r="V6" s="101"/>
      <c r="W6" s="101"/>
      <c r="X6" s="101"/>
      <c r="Y6" s="108"/>
      <c r="Z6" s="108"/>
      <c r="AB6" s="148" t="str">
        <f>IF(A2="","","Diâmetro interno do TC &lt; 160mm")</f>
        <v/>
      </c>
      <c r="AJ6" s="105"/>
      <c r="AK6" s="105"/>
      <c r="AL6" s="102"/>
      <c r="AM6" s="106">
        <v>2</v>
      </c>
      <c r="AN6" s="105"/>
      <c r="AO6" s="105"/>
      <c r="AP6" s="105"/>
      <c r="AQ6" s="105"/>
      <c r="AR6" s="105"/>
      <c r="AS6" s="102"/>
      <c r="AT6" s="102"/>
      <c r="AU6" s="102"/>
      <c r="AV6" s="102"/>
      <c r="AY6" s="105"/>
      <c r="AZ6" s="105"/>
      <c r="BA6" s="105"/>
      <c r="BB6" s="104">
        <f>BB5+1</f>
        <v>5</v>
      </c>
      <c r="BC6" s="105" t="s">
        <v>148</v>
      </c>
      <c r="BD6" s="105"/>
      <c r="BE6" s="105"/>
      <c r="BG6" s="104">
        <f>BG5+1</f>
        <v>5</v>
      </c>
      <c r="BH6" s="105" t="s">
        <v>173</v>
      </c>
      <c r="BP6" s="109">
        <f t="shared" si="2"/>
        <v>5</v>
      </c>
      <c r="BQ6" s="104">
        <f t="shared" si="3"/>
        <v>5</v>
      </c>
      <c r="BR6" s="109">
        <f>BS6+BT6+BU6</f>
        <v>55</v>
      </c>
      <c r="BS6" s="109">
        <v>55</v>
      </c>
      <c r="BT6" s="109">
        <v>0</v>
      </c>
      <c r="BU6" s="109">
        <v>0</v>
      </c>
      <c r="CB6" s="104">
        <f t="shared" si="4"/>
        <v>5</v>
      </c>
      <c r="CC6" s="109">
        <f t="shared" si="1"/>
        <v>0.3</v>
      </c>
      <c r="CF6" s="109">
        <f>'Classes por Norma'!C20</f>
        <v>0.5</v>
      </c>
      <c r="CL6" s="109" t="str">
        <f>'Classes por Norma'!C55</f>
        <v>0.3S</v>
      </c>
      <c r="CQ6" s="109" t="str">
        <f>'Classes por Norma'!C122</f>
        <v>0.6S</v>
      </c>
      <c r="CV6" s="109">
        <f>'Classes por Norma'!C166</f>
        <v>3</v>
      </c>
      <c r="DA6" s="109" t="str">
        <f>'Classes por Norma'!C35</f>
        <v>5P20</v>
      </c>
      <c r="DG6" s="252" t="s">
        <v>72</v>
      </c>
      <c r="DL6" s="109" t="str">
        <f>'Classes por Norma'!C134</f>
        <v>5P20</v>
      </c>
      <c r="DQ6" s="252" t="s">
        <v>491</v>
      </c>
      <c r="DW6" s="104">
        <f t="shared" si="5"/>
        <v>5</v>
      </c>
      <c r="DX6" s="109" t="str">
        <f t="shared" si="6"/>
        <v>B-1.8</v>
      </c>
      <c r="EA6" s="109">
        <f>'Classes por Norma'!C10</f>
        <v>15</v>
      </c>
      <c r="EG6" s="109" t="str">
        <f>'Classes por Norma'!C68</f>
        <v>B-0.9</v>
      </c>
      <c r="EL6" s="255">
        <f>'Classes por Norma'!J84</f>
        <v>100</v>
      </c>
      <c r="EQ6" s="109">
        <f>'Classes por Norma'!C98</f>
        <v>22.5</v>
      </c>
      <c r="EV6" s="109">
        <f>'Classes por Norma'!C110</f>
        <v>5</v>
      </c>
      <c r="FA6" s="252">
        <f>'Classes por Norma'!D151</f>
        <v>22.5</v>
      </c>
      <c r="FG6" s="252">
        <f>'Classes por Norma'!E151</f>
        <v>90</v>
      </c>
    </row>
    <row r="7" spans="1:163" ht="18" customHeight="1">
      <c r="C7" s="110" t="s">
        <v>155</v>
      </c>
      <c r="D7" s="334">
        <v>4000</v>
      </c>
      <c r="E7" s="334"/>
      <c r="F7" s="108" t="s">
        <v>139</v>
      </c>
      <c r="G7" s="111">
        <v>5</v>
      </c>
      <c r="I7" s="101"/>
      <c r="J7" s="101"/>
      <c r="K7" s="101"/>
      <c r="L7" s="101"/>
      <c r="M7" s="101"/>
      <c r="P7" s="110" t="s">
        <v>246</v>
      </c>
      <c r="Q7" s="334">
        <v>2</v>
      </c>
      <c r="R7" s="334"/>
      <c r="S7" s="109" t="s">
        <v>159</v>
      </c>
      <c r="W7" s="110" t="s">
        <v>161</v>
      </c>
      <c r="X7" s="277">
        <v>0</v>
      </c>
      <c r="Z7" s="108"/>
      <c r="AJ7" s="105"/>
      <c r="AK7" s="105"/>
      <c r="AL7" s="102"/>
      <c r="AM7" s="105"/>
      <c r="AN7" s="102"/>
      <c r="AO7" s="102"/>
      <c r="AP7" s="102"/>
      <c r="AQ7" s="102"/>
      <c r="AR7" s="102"/>
      <c r="AS7" s="105"/>
      <c r="AT7" s="102"/>
      <c r="AU7" s="102"/>
      <c r="AV7" s="102"/>
      <c r="AW7" s="105"/>
      <c r="AX7" s="105"/>
      <c r="AY7" s="105"/>
      <c r="AZ7" s="105"/>
      <c r="BA7" s="105"/>
      <c r="BB7" s="105"/>
      <c r="BC7" s="132">
        <v>1</v>
      </c>
      <c r="BD7" s="105"/>
      <c r="BE7" s="105"/>
      <c r="BG7" s="104">
        <f t="shared" ref="BG7:BG8" si="7">BG6+1</f>
        <v>6</v>
      </c>
      <c r="BH7" s="116" t="s">
        <v>174</v>
      </c>
      <c r="BP7" s="109">
        <f t="shared" si="2"/>
        <v>5</v>
      </c>
      <c r="BQ7" s="104">
        <f t="shared" si="3"/>
        <v>6</v>
      </c>
      <c r="BR7" s="109">
        <f>BS7+BT7+BU7</f>
        <v>60</v>
      </c>
      <c r="BS7" s="109">
        <v>35</v>
      </c>
      <c r="BT7" s="109">
        <v>25</v>
      </c>
      <c r="BU7" s="109">
        <v>0</v>
      </c>
      <c r="CB7" s="104">
        <f t="shared" si="4"/>
        <v>6</v>
      </c>
      <c r="CC7" s="109">
        <f t="shared" si="1"/>
        <v>0.6</v>
      </c>
      <c r="CF7" s="109" t="str">
        <f>'Classes por Norma'!C21</f>
        <v>0.5S</v>
      </c>
      <c r="CL7" s="109">
        <f>'Classes por Norma'!C56</f>
        <v>0.3</v>
      </c>
      <c r="CQ7" s="109">
        <f>'Classes por Norma'!C123</f>
        <v>1.2</v>
      </c>
      <c r="DA7" s="109" t="str">
        <f>'Classes por Norma'!C36</f>
        <v>5P30</v>
      </c>
      <c r="DG7" s="252" t="s">
        <v>72</v>
      </c>
      <c r="DL7" s="109" t="str">
        <f>'Classes por Norma'!C135</f>
        <v>5P30</v>
      </c>
      <c r="DQ7" s="252" t="s">
        <v>491</v>
      </c>
      <c r="DW7" s="104">
        <f t="shared" si="5"/>
        <v>6</v>
      </c>
      <c r="DX7" s="109">
        <f t="shared" si="6"/>
        <v>0</v>
      </c>
      <c r="EA7" s="109">
        <f>'Classes por Norma'!C11</f>
        <v>30</v>
      </c>
      <c r="EG7" s="109" t="str">
        <f>'Classes por Norma'!C69</f>
        <v>B-1.8</v>
      </c>
      <c r="EL7" s="255">
        <f>'Classes por Norma'!J85</f>
        <v>200</v>
      </c>
      <c r="EQ7" s="109">
        <f>'Classes por Norma'!C99</f>
        <v>25</v>
      </c>
      <c r="EV7" s="109">
        <f>'Classes por Norma'!C111</f>
        <v>8</v>
      </c>
      <c r="FA7" s="252">
        <f>'Classes por Norma'!D152</f>
        <v>25</v>
      </c>
      <c r="FG7" s="252">
        <f>'Classes por Norma'!E152</f>
        <v>100</v>
      </c>
    </row>
    <row r="8" spans="1:163" ht="18" customHeight="1">
      <c r="B8" s="105"/>
      <c r="C8" s="105"/>
      <c r="D8" s="112" t="s">
        <v>156</v>
      </c>
      <c r="E8" s="113"/>
      <c r="F8" s="108"/>
      <c r="G8" s="114" t="s">
        <v>157</v>
      </c>
      <c r="H8" s="108"/>
      <c r="I8" s="108"/>
      <c r="J8" s="108"/>
      <c r="K8" s="108"/>
      <c r="L8" s="108"/>
      <c r="M8" s="108"/>
      <c r="N8" s="105"/>
      <c r="O8" s="105"/>
      <c r="P8" s="114" t="s">
        <v>158</v>
      </c>
      <c r="Q8" s="108"/>
      <c r="Z8" s="108"/>
      <c r="AJ8" s="105"/>
      <c r="AK8" s="105"/>
      <c r="AL8" s="102"/>
      <c r="AM8" s="102"/>
      <c r="AN8" s="102"/>
      <c r="AO8" s="102"/>
      <c r="AP8" s="102"/>
      <c r="AQ8" s="102"/>
      <c r="AR8" s="102"/>
      <c r="AS8" s="102"/>
      <c r="AT8" s="102"/>
      <c r="AU8" s="102"/>
      <c r="AV8" s="102"/>
      <c r="AW8" s="102"/>
      <c r="AX8" s="102"/>
      <c r="AY8" s="102"/>
      <c r="AZ8" s="102"/>
      <c r="BA8" s="102"/>
      <c r="BB8" s="102"/>
      <c r="BC8" s="106">
        <f>BC7+1</f>
        <v>2</v>
      </c>
      <c r="BD8" s="102"/>
      <c r="BE8" s="102"/>
      <c r="BG8" s="104">
        <f t="shared" si="7"/>
        <v>7</v>
      </c>
      <c r="BH8" s="116" t="s">
        <v>175</v>
      </c>
      <c r="BP8" s="109">
        <f t="shared" si="2"/>
        <v>5</v>
      </c>
      <c r="BQ8" s="104">
        <f t="shared" si="3"/>
        <v>7</v>
      </c>
      <c r="BR8" s="109">
        <v>65</v>
      </c>
      <c r="BS8" s="109">
        <v>40</v>
      </c>
      <c r="BT8" s="109">
        <v>25</v>
      </c>
      <c r="BU8" s="109">
        <v>0</v>
      </c>
      <c r="CB8" s="104">
        <f t="shared" si="4"/>
        <v>7</v>
      </c>
      <c r="CC8" s="109">
        <f t="shared" si="1"/>
        <v>1.2</v>
      </c>
      <c r="CF8" s="109">
        <f>'Classes por Norma'!C22</f>
        <v>1</v>
      </c>
      <c r="CL8" s="109">
        <f>'Classes por Norma'!C57</f>
        <v>0.6</v>
      </c>
      <c r="CQ8" s="109">
        <f>'Classes por Norma'!C124</f>
        <v>3</v>
      </c>
      <c r="DA8" s="109" t="str">
        <f>'Classes por Norma'!C37</f>
        <v>10P5</v>
      </c>
      <c r="DG8" s="252" t="s">
        <v>72</v>
      </c>
      <c r="DL8" s="109" t="str">
        <f>'Classes por Norma'!C136</f>
        <v>10P5</v>
      </c>
      <c r="DQ8" s="252" t="s">
        <v>491</v>
      </c>
      <c r="DW8" s="104">
        <f t="shared" si="5"/>
        <v>7</v>
      </c>
      <c r="DX8" s="109">
        <f t="shared" si="6"/>
        <v>0</v>
      </c>
      <c r="EA8" s="109">
        <v>20</v>
      </c>
      <c r="EL8" s="255">
        <f>'Classes por Norma'!J86</f>
        <v>400</v>
      </c>
      <c r="EQ8" s="109">
        <f>'Classes por Norma'!C100</f>
        <v>45</v>
      </c>
      <c r="EV8" s="109">
        <f>'Classes por Norma'!C112</f>
        <v>10</v>
      </c>
      <c r="FA8" s="252">
        <f>'Classes por Norma'!D153</f>
        <v>45</v>
      </c>
      <c r="FG8" s="252">
        <f>'Classes por Norma'!E153</f>
        <v>180</v>
      </c>
    </row>
    <row r="9" spans="1:163" ht="18" customHeight="1">
      <c r="B9" s="108"/>
      <c r="C9" s="110" t="s">
        <v>143</v>
      </c>
      <c r="D9" s="101"/>
      <c r="E9" s="101"/>
      <c r="F9" s="101" t="str">
        <f>IF(AND(AM6=4,AT4=2),"C","")</f>
        <v/>
      </c>
      <c r="G9" s="101"/>
      <c r="H9" s="101"/>
      <c r="I9" s="101"/>
      <c r="J9" s="333">
        <f>IF(AND(AM6=2,AT4=2),RIGHT(G10,3)*G7^2,IF(AND(AT4=1,OR(AM6=2,AM6=4)),G10/O9*G7,G10))</f>
        <v>45</v>
      </c>
      <c r="K9" s="333"/>
      <c r="L9" s="105" t="s">
        <v>39</v>
      </c>
      <c r="N9" s="173" t="s">
        <v>167</v>
      </c>
      <c r="O9" s="279" t="str">
        <f>IF(AT4=2,"--",IF(OR(AM6=1,AM6=3),IF(VLOOKUP(CC13,CB2:CC12,2)="5P5",5,IF(VLOOKUP(CC13,CB2:CC12,2)="10P5",10,RIGHT(VLOOKUP(CC13,CB2:CC12,2),2))),20))</f>
        <v>--</v>
      </c>
      <c r="Q9" s="110" t="s">
        <v>160</v>
      </c>
      <c r="R9" s="269" t="s">
        <v>52</v>
      </c>
      <c r="T9" s="110" t="s">
        <v>163</v>
      </c>
      <c r="U9" s="292">
        <f>J9/G7^2</f>
        <v>1.8</v>
      </c>
      <c r="V9" s="115" t="s">
        <v>166</v>
      </c>
      <c r="W9" s="110" t="s">
        <v>162</v>
      </c>
      <c r="X9" s="271">
        <f>IF(AM6=1,0.8,IF(AM6=2,IF(AND(AT4=1,G10&gt;50),0.5,0.9),IF(AM6=3,IF(G7=5,VLOOKUP(J9,'Classes por Norma'!C95:D103,2),VLOOKUP(J9,'Classes por Norma'!C107:D113,2)),IF(AND(AM6=4,AT4=2),VLOOKUP(J9,'Classes por Norma'!D148:F157,3),IF(OR(G10=100,G10=200,G10=400,G10=800),0.5,0.9)))))</f>
        <v>0.9</v>
      </c>
      <c r="Y9" s="108"/>
      <c r="Z9" s="108"/>
      <c r="AJ9" s="105"/>
      <c r="AK9" s="105"/>
      <c r="AN9" s="314"/>
      <c r="AO9" s="314"/>
      <c r="BG9" s="104">
        <f t="shared" ref="BG9:BG10" si="8">BG8+1</f>
        <v>8</v>
      </c>
      <c r="BH9" s="105" t="s">
        <v>176</v>
      </c>
      <c r="BP9" s="109">
        <f t="shared" si="2"/>
        <v>5</v>
      </c>
      <c r="BQ9" s="104">
        <f t="shared" si="3"/>
        <v>8</v>
      </c>
      <c r="BR9" s="109">
        <f t="shared" ref="BR9:BR36" si="9">BS9+BT9+BU9</f>
        <v>70</v>
      </c>
      <c r="BS9" s="109">
        <v>35</v>
      </c>
      <c r="BT9" s="109">
        <v>35</v>
      </c>
      <c r="BU9" s="109">
        <v>0</v>
      </c>
      <c r="CB9" s="104">
        <f t="shared" si="4"/>
        <v>8</v>
      </c>
      <c r="CC9" s="109">
        <f t="shared" si="1"/>
        <v>0</v>
      </c>
      <c r="CF9" s="109">
        <f>'Classes por Norma'!C23</f>
        <v>3</v>
      </c>
      <c r="CL9" s="109">
        <f>'Classes por Norma'!C58</f>
        <v>1.2</v>
      </c>
      <c r="DA9" s="109" t="str">
        <f>'Classes por Norma'!C38</f>
        <v>10P10</v>
      </c>
      <c r="DG9" s="252" t="s">
        <v>72</v>
      </c>
      <c r="DL9" s="109" t="str">
        <f>'Classes por Norma'!C137</f>
        <v>10P10</v>
      </c>
      <c r="DQ9" s="252" t="s">
        <v>491</v>
      </c>
      <c r="DW9" s="104">
        <f t="shared" si="5"/>
        <v>8</v>
      </c>
      <c r="DX9" s="109">
        <f t="shared" si="6"/>
        <v>0</v>
      </c>
      <c r="EL9" s="255">
        <f>'Classes por Norma'!J87</f>
        <v>800</v>
      </c>
      <c r="EQ9" s="109">
        <f>'Classes por Norma'!C101</f>
        <v>50</v>
      </c>
      <c r="EV9" s="109">
        <f>'Classes por Norma'!C113</f>
        <v>20</v>
      </c>
      <c r="FA9" s="252">
        <f>'Classes por Norma'!D154</f>
        <v>50</v>
      </c>
      <c r="FG9" s="252">
        <f>'Classes por Norma'!E154</f>
        <v>200</v>
      </c>
    </row>
    <row r="10" spans="1:163" ht="18" customHeight="1">
      <c r="B10" s="108"/>
      <c r="C10" s="108"/>
      <c r="D10" s="183" t="str">
        <f>"erro "&amp;IF(AT4=1,"comp. ","")&amp;"(%):"</f>
        <v>erro (%):</v>
      </c>
      <c r="E10" s="184">
        <f>IF(AT4=1,IF(LEFT(VLOOKUP(CC13,CB2:CC12,2),1)="5",5,10),VLOOKUP(CC13,CB2:CC12,2))</f>
        <v>0.3</v>
      </c>
      <c r="F10" s="108"/>
      <c r="G10" s="270" t="str">
        <f>VLOOKUP(DX12,DW2:DX11,2)</f>
        <v>B-1.8</v>
      </c>
      <c r="H10" s="184" t="str">
        <f>IF(AND(AT4=1,OR(AM6=2,AM6=4)),"V",IF(AND(AM6=2,AT4=1),"Ω","VA"))</f>
        <v>VA</v>
      </c>
      <c r="J10" s="183"/>
      <c r="L10" s="108"/>
      <c r="AH10" s="252" t="s">
        <v>548</v>
      </c>
      <c r="AJ10" s="102"/>
      <c r="AK10" s="102"/>
      <c r="AN10" s="314">
        <f>MAX(BC7,CEILING(D7/G7/(IF(BX4=1,V13,V13-Q13*2-3*4)*PI()/(AN11+0.1)/BL4),1))</f>
        <v>3</v>
      </c>
      <c r="AO10" s="314"/>
      <c r="AP10" s="102"/>
      <c r="AQ10" s="329">
        <f>CEILING(2+(0.1+AN11)*AN10^0.9,0.5)</f>
        <v>10</v>
      </c>
      <c r="AR10" s="329"/>
      <c r="AS10" s="252" t="s">
        <v>542</v>
      </c>
      <c r="AV10" s="329">
        <f>AQ10+2</f>
        <v>12</v>
      </c>
      <c r="AW10" s="329"/>
      <c r="AX10" s="252" t="s">
        <v>551</v>
      </c>
      <c r="BG10" s="104">
        <f t="shared" si="8"/>
        <v>9</v>
      </c>
      <c r="BH10" s="116" t="s">
        <v>177</v>
      </c>
      <c r="BP10" s="109">
        <f t="shared" si="2"/>
        <v>5</v>
      </c>
      <c r="BQ10" s="104">
        <f t="shared" si="3"/>
        <v>9</v>
      </c>
      <c r="BR10" s="109">
        <f t="shared" si="9"/>
        <v>75</v>
      </c>
      <c r="BS10" s="109">
        <v>25</v>
      </c>
      <c r="BT10" s="109">
        <v>25</v>
      </c>
      <c r="BU10" s="109">
        <v>25</v>
      </c>
      <c r="CB10" s="104">
        <f t="shared" si="4"/>
        <v>9</v>
      </c>
      <c r="CC10" s="109">
        <f t="shared" si="1"/>
        <v>0</v>
      </c>
      <c r="CF10" s="109">
        <f>'Classes por Norma'!C24</f>
        <v>5</v>
      </c>
      <c r="DA10" s="109" t="str">
        <f>'Classes por Norma'!C39</f>
        <v>10P15</v>
      </c>
      <c r="DL10" s="109" t="str">
        <f>'Classes por Norma'!C138</f>
        <v>10P15</v>
      </c>
      <c r="DW10" s="104">
        <f t="shared" si="5"/>
        <v>9</v>
      </c>
      <c r="DX10" s="109">
        <f t="shared" si="6"/>
        <v>0</v>
      </c>
      <c r="EQ10" s="109">
        <f>'Classes por Norma'!C102</f>
        <v>90</v>
      </c>
      <c r="FA10" s="252">
        <f>'Classes por Norma'!D155</f>
        <v>90</v>
      </c>
      <c r="FG10" s="252">
        <f>'Classes por Norma'!E155</f>
        <v>360</v>
      </c>
    </row>
    <row r="11" spans="1:163" ht="18" customHeight="1">
      <c r="C11" s="110" t="s">
        <v>168</v>
      </c>
      <c r="D11" s="101"/>
      <c r="E11" s="101"/>
      <c r="F11" s="101"/>
      <c r="I11" s="248" t="s">
        <v>178</v>
      </c>
      <c r="J11" s="101"/>
      <c r="K11" s="101"/>
      <c r="L11" s="101"/>
      <c r="N11" s="110" t="s">
        <v>183</v>
      </c>
      <c r="O11" s="334">
        <v>0</v>
      </c>
      <c r="P11" s="334"/>
      <c r="Q11" s="105" t="s">
        <v>184</v>
      </c>
      <c r="U11" s="110" t="s">
        <v>189</v>
      </c>
      <c r="V11" s="101"/>
      <c r="W11" s="101"/>
      <c r="AH11" s="109" t="s">
        <v>204</v>
      </c>
      <c r="AN11" s="314">
        <f>VLOOKUP(BH11,Dados!A103:D111,3)</f>
        <v>2.6949999999999998</v>
      </c>
      <c r="AO11" s="314"/>
      <c r="AP11" s="109" t="s">
        <v>30</v>
      </c>
      <c r="AQ11" s="102"/>
      <c r="AR11" s="102" t="str">
        <f>VLOOKUP(BH11,Dados!A103:D111,2)&amp;" AWG"</f>
        <v>10 AWG</v>
      </c>
      <c r="AS11" s="102"/>
      <c r="AU11" s="109" t="s">
        <v>206</v>
      </c>
      <c r="AZ11" s="314">
        <f>VLOOKUP(BH11,Dados!A103:D111,4)</f>
        <v>5.2600000000000001E-2</v>
      </c>
      <c r="BA11" s="314"/>
      <c r="BB11" s="109" t="s">
        <v>207</v>
      </c>
      <c r="BC11" s="102"/>
      <c r="BD11" s="102"/>
      <c r="BE11" s="102"/>
      <c r="BG11" s="105"/>
      <c r="BH11" s="106">
        <v>2</v>
      </c>
      <c r="BP11" s="109">
        <f t="shared" si="2"/>
        <v>5</v>
      </c>
      <c r="BQ11" s="104">
        <f>BQ10+1</f>
        <v>10</v>
      </c>
      <c r="BR11" s="109">
        <f t="shared" si="9"/>
        <v>80</v>
      </c>
      <c r="BS11" s="109">
        <v>55</v>
      </c>
      <c r="BT11" s="109">
        <v>25</v>
      </c>
      <c r="BU11" s="109">
        <v>0</v>
      </c>
      <c r="CB11" s="104">
        <f t="shared" si="4"/>
        <v>10</v>
      </c>
      <c r="CC11" s="109">
        <f t="shared" si="1"/>
        <v>0</v>
      </c>
      <c r="DA11" s="109" t="str">
        <f>'Classes por Norma'!C40</f>
        <v>10P20</v>
      </c>
      <c r="DL11" s="109" t="str">
        <f>'Classes por Norma'!C139</f>
        <v>10P20</v>
      </c>
      <c r="DW11" s="104">
        <f t="shared" si="5"/>
        <v>10</v>
      </c>
      <c r="DX11" s="109">
        <f t="shared" si="6"/>
        <v>0</v>
      </c>
      <c r="EQ11" s="109">
        <f>'Classes por Norma'!C103</f>
        <v>100</v>
      </c>
      <c r="FA11" s="252">
        <f>'Classes por Norma'!D156</f>
        <v>100</v>
      </c>
      <c r="FG11" s="252">
        <f>'Classes por Norma'!E156</f>
        <v>400</v>
      </c>
    </row>
    <row r="12" spans="1:163" ht="18" customHeight="1">
      <c r="D12" s="183">
        <f>ROUND(G7*Q7/AZ11/BL4,1)</f>
        <v>190.1</v>
      </c>
      <c r="E12" s="184" t="s">
        <v>294</v>
      </c>
      <c r="F12" s="183">
        <f>O121</f>
        <v>5.8</v>
      </c>
      <c r="G12" s="184" t="s">
        <v>323</v>
      </c>
      <c r="O12" s="358" t="str">
        <f>R57</f>
        <v/>
      </c>
      <c r="P12" s="358"/>
      <c r="S12" s="108"/>
      <c r="V12" s="355" t="str">
        <f>IF(BX4=1,"Øi TC","Øe TC")</f>
        <v>Øe TC</v>
      </c>
      <c r="W12" s="355"/>
      <c r="AH12" s="252" t="s">
        <v>541</v>
      </c>
      <c r="AN12" s="316">
        <v>1</v>
      </c>
      <c r="AO12" s="316"/>
      <c r="AP12" s="316">
        <f>AN12+1</f>
        <v>2</v>
      </c>
      <c r="AQ12" s="316"/>
      <c r="AR12" s="316">
        <f>AP12+1</f>
        <v>3</v>
      </c>
      <c r="AS12" s="316"/>
      <c r="AT12" s="316">
        <f>AR12+1</f>
        <v>4</v>
      </c>
      <c r="AU12" s="316"/>
      <c r="AV12" s="316">
        <f>AT12+1</f>
        <v>5</v>
      </c>
      <c r="AW12" s="316"/>
      <c r="AY12" s="102"/>
      <c r="AZ12" s="102"/>
      <c r="BA12" s="102"/>
      <c r="BB12" s="102"/>
      <c r="BC12" s="102"/>
      <c r="BD12" s="102"/>
      <c r="BE12" s="102"/>
      <c r="BF12" s="102"/>
      <c r="BG12" s="102"/>
      <c r="BH12" s="102"/>
      <c r="BI12" s="102"/>
      <c r="BJ12" s="102"/>
      <c r="BK12" s="102"/>
      <c r="BP12" s="109">
        <f t="shared" ref="BP12:BP25" si="10">BR12-BR11</f>
        <v>5</v>
      </c>
      <c r="BQ12" s="104">
        <f>BQ11+1</f>
        <v>11</v>
      </c>
      <c r="BR12" s="109">
        <f t="shared" si="9"/>
        <v>85</v>
      </c>
      <c r="BS12" s="109">
        <v>85</v>
      </c>
      <c r="BT12" s="109">
        <v>0</v>
      </c>
      <c r="BU12" s="109">
        <v>0</v>
      </c>
      <c r="CB12" s="104">
        <f t="shared" si="4"/>
        <v>11</v>
      </c>
      <c r="CC12" s="109">
        <f t="shared" si="1"/>
        <v>0</v>
      </c>
      <c r="DA12" s="109" t="str">
        <f>'Classes por Norma'!C41</f>
        <v>10P30</v>
      </c>
      <c r="DL12" s="109" t="str">
        <f>'Classes por Norma'!C140</f>
        <v>10P30</v>
      </c>
      <c r="DX12" s="106">
        <v>5</v>
      </c>
      <c r="FA12" s="252">
        <f>'Classes por Norma'!D157</f>
        <v>200</v>
      </c>
      <c r="FG12" s="252">
        <f>'Classes por Norma'!E157</f>
        <v>800</v>
      </c>
    </row>
    <row r="13" spans="1:163" ht="18" customHeight="1">
      <c r="C13" s="110" t="s">
        <v>181</v>
      </c>
      <c r="D13" s="101"/>
      <c r="E13" s="101"/>
      <c r="H13" s="110" t="s">
        <v>186</v>
      </c>
      <c r="I13" s="101"/>
      <c r="J13" s="101"/>
      <c r="K13" s="109" t="str">
        <f>IF(BT38=0,"mm","("&amp;BS38&amp;"+"&amp;BT38&amp;IF(BU38&gt;0,"+"&amp;BU38,"")&amp;")mm")</f>
        <v>mm</v>
      </c>
      <c r="P13" s="110" t="s">
        <v>188</v>
      </c>
      <c r="Q13" s="334">
        <v>40</v>
      </c>
      <c r="R13" s="334"/>
      <c r="S13" s="108"/>
      <c r="U13" s="248" t="s">
        <v>193</v>
      </c>
      <c r="V13" s="334">
        <v>410</v>
      </c>
      <c r="W13" s="334"/>
      <c r="X13" s="109" t="s">
        <v>30</v>
      </c>
      <c r="AA13" s="109" t="str">
        <f>"Max.: "&amp;MAX(G70:W70)&amp;" G"</f>
        <v>Max.: 1189 G</v>
      </c>
      <c r="AH13" s="252" t="s">
        <v>540</v>
      </c>
      <c r="AN13" s="331">
        <f>IF($BX$4=1,$V$13+2*$AQ$10*($AN$10-AN12)/$AN$10,$V$13-2*$AQ$10-2*$AQ$10*AN12/$AN$10-2*$Q$13)</f>
        <v>303.33333333333331</v>
      </c>
      <c r="AO13" s="331"/>
      <c r="AP13" s="331">
        <f>IF($BX$4=1,$V$13+2*$AQ$10*($AN$10-AP12)/$AN$10,$V$13-2*$AQ$10-2*$AQ$10*AP12/$AN$10-2*$Q$13)</f>
        <v>296.66666666666669</v>
      </c>
      <c r="AQ13" s="331"/>
      <c r="AR13" s="331">
        <f>IF($BX$4=1,$V$13+2*$AQ$10*($AN$10-AR12)/$AN$10,$V$13-2*$AQ$10-2*$AQ$10*AR12/$AN$10-2*$Q$13)</f>
        <v>290</v>
      </c>
      <c r="AS13" s="331"/>
      <c r="AT13" s="331">
        <f>IF($BX$4=1,$V$13+2*$AQ$10*($AN$10-AT12)/$AN$10,$V$13-2*$AQ$10-2*$AQ$10*AT12/$AN$10-2*$Q$13)</f>
        <v>283.33333333333331</v>
      </c>
      <c r="AU13" s="331"/>
      <c r="AV13" s="331">
        <f>IF($BX$4=1,$V$13+2*$AQ$10*($AN$10-AV12)/$AN$10,$V$13-2*$AQ$10-2*$AQ$10*AV12/$AN$10-2*$Q$13)</f>
        <v>276.66666666666669</v>
      </c>
      <c r="AW13" s="331"/>
      <c r="AX13" s="109" t="s">
        <v>30</v>
      </c>
      <c r="AY13" s="102"/>
      <c r="BD13" s="102"/>
      <c r="BE13" s="102"/>
      <c r="BP13" s="109">
        <f t="shared" si="10"/>
        <v>5</v>
      </c>
      <c r="BQ13" s="104">
        <f t="shared" ref="BQ13:BQ20" si="11">BQ12+1</f>
        <v>12</v>
      </c>
      <c r="BR13" s="109">
        <f t="shared" si="9"/>
        <v>90</v>
      </c>
      <c r="BS13" s="109">
        <v>55</v>
      </c>
      <c r="BT13" s="109">
        <v>35</v>
      </c>
      <c r="BU13" s="109">
        <v>0</v>
      </c>
      <c r="CC13" s="106">
        <v>5</v>
      </c>
      <c r="FA13" s="252"/>
    </row>
    <row r="14" spans="1:163" ht="18" customHeight="1">
      <c r="Q14" s="148" t="str">
        <f>IF(MAX(G70:W70)&gt;19200,"Bm max "&amp;FIXED(MAX(G70:W70)/10000,2)&amp;" &gt; 1.92 T","")</f>
        <v/>
      </c>
      <c r="V14" s="254" t="str">
        <f>IF(AZ21&gt;0,"Aumentar Ø p/ camadas OK",IF(AN16&gt;10,"+ de 10 camadas",""))</f>
        <v/>
      </c>
      <c r="AH14" s="253" t="s">
        <v>545</v>
      </c>
      <c r="AN14" s="316">
        <f>INT(AN13*PI()/($AN$11+0.1)/$BL$4)</f>
        <v>340</v>
      </c>
      <c r="AO14" s="316"/>
      <c r="AP14" s="316">
        <f>INT(AP13*PI()/($AN$11+0.1)/$BL$4)</f>
        <v>333</v>
      </c>
      <c r="AQ14" s="316"/>
      <c r="AR14" s="316">
        <f>INT(AR13*PI()/($AN$11+0.1)/$BL$4)</f>
        <v>325</v>
      </c>
      <c r="AS14" s="316"/>
      <c r="AT14" s="316">
        <f>INT(AT13*PI()/($AN$11+0.1)/$BL$4)</f>
        <v>318</v>
      </c>
      <c r="AU14" s="316"/>
      <c r="AV14" s="316">
        <f>INT(AV13*PI()/($AN$11+0.1)/$BL$4)</f>
        <v>310</v>
      </c>
      <c r="AW14" s="316"/>
      <c r="AX14" s="102"/>
      <c r="AY14" s="102"/>
      <c r="AZ14" s="102"/>
      <c r="BA14" s="102"/>
      <c r="BB14" s="102"/>
      <c r="BC14" s="102"/>
      <c r="BD14" s="102"/>
      <c r="BP14" s="109">
        <f t="shared" si="10"/>
        <v>5</v>
      </c>
      <c r="BQ14" s="104">
        <f t="shared" si="11"/>
        <v>13</v>
      </c>
      <c r="BR14" s="109">
        <f t="shared" si="9"/>
        <v>95</v>
      </c>
      <c r="BS14" s="109">
        <v>35</v>
      </c>
      <c r="BT14" s="109">
        <v>35</v>
      </c>
      <c r="BU14" s="109">
        <v>25</v>
      </c>
      <c r="FA14" s="252"/>
    </row>
    <row r="15" spans="1:163" ht="18" customHeight="1">
      <c r="D15" s="130" t="str">
        <f>IF($AM$6=2,"X","S")&amp;1</f>
        <v>X1</v>
      </c>
      <c r="E15" s="130"/>
      <c r="F15" s="130" t="str">
        <f>IF($AM$6=2,"X","S")&amp;2</f>
        <v>X2</v>
      </c>
      <c r="G15" s="130"/>
      <c r="H15" s="130" t="str">
        <f>IF($BC$8&gt;2,IF($AM$6=2,"X","S")&amp;3,"")</f>
        <v/>
      </c>
      <c r="I15" s="130"/>
      <c r="J15" s="130" t="str">
        <f>IF($BC$8&gt;3,IF($AM$6=2,"X","S")&amp;4,"")</f>
        <v/>
      </c>
      <c r="K15" s="130"/>
      <c r="L15" s="130" t="str">
        <f>IF($BC$8&gt;4,IF($AM$6=2,"X","S")&amp;5,"")</f>
        <v/>
      </c>
      <c r="M15" s="130"/>
      <c r="N15" s="130" t="str">
        <f>IF($BC$8&gt;5,IF($AM$6=2,"X","S")&amp;6,"")</f>
        <v/>
      </c>
      <c r="Q15" s="134" t="s">
        <v>216</v>
      </c>
      <c r="R15" s="135"/>
      <c r="S15" s="134" t="s">
        <v>140</v>
      </c>
      <c r="T15" s="136"/>
      <c r="U15" s="135"/>
      <c r="V15" s="134" t="s">
        <v>195</v>
      </c>
      <c r="W15" s="135"/>
      <c r="AA15" s="101" t="s">
        <v>198</v>
      </c>
      <c r="AB15" s="101" t="s">
        <v>199</v>
      </c>
      <c r="AC15" s="256" t="s">
        <v>555</v>
      </c>
      <c r="AD15" s="130"/>
      <c r="AH15" s="252" t="s">
        <v>546</v>
      </c>
      <c r="AJ15" s="102"/>
      <c r="AK15" s="102"/>
      <c r="AL15" s="102"/>
      <c r="AM15" s="102"/>
      <c r="AN15" s="314">
        <f>CEILING(E$17/AN14,1)</f>
        <v>3</v>
      </c>
      <c r="AO15" s="314"/>
      <c r="AP15" s="314">
        <f t="shared" ref="AP15" si="12">CEILING(G$17/AP14,1)</f>
        <v>0</v>
      </c>
      <c r="AQ15" s="314"/>
      <c r="AR15" s="314">
        <f t="shared" ref="AR15" si="13">CEILING(I$17/AR14,1)</f>
        <v>0</v>
      </c>
      <c r="AS15" s="314"/>
      <c r="AT15" s="314">
        <f t="shared" ref="AT15" si="14">CEILING(K$17/AT14,1)</f>
        <v>0</v>
      </c>
      <c r="AU15" s="314"/>
      <c r="AV15" s="314">
        <f t="shared" ref="AV15" si="15">CEILING(M$17/AV14,1)</f>
        <v>0</v>
      </c>
      <c r="AW15" s="314"/>
      <c r="AZ15" s="253"/>
      <c r="BA15" s="102"/>
      <c r="BB15" s="102"/>
      <c r="BC15" s="102"/>
      <c r="BD15" s="102"/>
      <c r="BP15" s="109">
        <f t="shared" si="10"/>
        <v>5</v>
      </c>
      <c r="BQ15" s="104">
        <f t="shared" si="11"/>
        <v>14</v>
      </c>
      <c r="BR15" s="109">
        <f t="shared" si="9"/>
        <v>100</v>
      </c>
      <c r="BS15" s="109">
        <v>40</v>
      </c>
      <c r="BT15" s="109">
        <v>35</v>
      </c>
      <c r="BU15" s="109">
        <v>25</v>
      </c>
      <c r="FA15" s="252"/>
    </row>
    <row r="16" spans="1:163" ht="18" customHeight="1" thickBot="1">
      <c r="D16" s="133"/>
      <c r="F16" s="133"/>
      <c r="H16" s="133"/>
      <c r="J16" s="133"/>
      <c r="L16" s="133"/>
      <c r="N16" s="133"/>
      <c r="Q16" s="134">
        <f>IF(BC8&gt;2,HLOOKUP($D$7,Dados!$A$88:$AA$98,2),D7)</f>
        <v>4000</v>
      </c>
      <c r="R16" s="135"/>
      <c r="S16" s="134" t="str">
        <f>IF(AM$6=2,"X","S")&amp;AA16&amp;"-"&amp;IF(AM$6=2,"X","S")&amp;IF(BC8&gt;2,AB16,2)</f>
        <v>X1-X2</v>
      </c>
      <c r="T16" s="136"/>
      <c r="U16" s="135"/>
      <c r="V16" s="134">
        <f>IF($BC$8=2,E17,Q16/G$7)</f>
        <v>800</v>
      </c>
      <c r="W16" s="135"/>
      <c r="AA16" s="130">
        <f>IF(BC8&gt;2,HLOOKUP($D$7+1,Dados!$A$88:$AA$98,2),1)</f>
        <v>1</v>
      </c>
      <c r="AB16" s="130">
        <f>IF(BC8&gt;2,HLOOKUP($D$7+2,Dados!$A$88:$AA$98,2),2)</f>
        <v>2</v>
      </c>
      <c r="AC16" s="130">
        <f>IF(BC8&gt;2,HLOOKUP($D$7+3,Dados!$A$88:$AB$98,2)/G7,D7/G7)</f>
        <v>800</v>
      </c>
      <c r="AD16" s="130"/>
      <c r="AH16" s="252" t="s">
        <v>543</v>
      </c>
      <c r="AN16" s="314">
        <f>SUM(AN15:AW15)</f>
        <v>3</v>
      </c>
      <c r="AO16" s="314"/>
      <c r="AQ16" s="339">
        <f>CEILING(2+(0.1+AN11)*AN16^0.9,0.5)+4.5</f>
        <v>14.5</v>
      </c>
      <c r="AR16" s="339"/>
      <c r="AS16" s="252" t="str">
        <f>AS10</f>
        <v>mm = E</v>
      </c>
      <c r="AU16" s="102"/>
      <c r="AV16" s="339">
        <f>AQ16+2+3</f>
        <v>19.5</v>
      </c>
      <c r="AW16" s="339"/>
      <c r="AX16" s="252" t="str">
        <f>AX10</f>
        <v>mm = A na altura</v>
      </c>
      <c r="BA16" s="102"/>
      <c r="BB16" s="102"/>
      <c r="BC16" s="102"/>
      <c r="BD16" s="102"/>
      <c r="BE16" s="102"/>
      <c r="BF16" s="102"/>
      <c r="BG16" s="102"/>
      <c r="BP16" s="109">
        <f t="shared" si="10"/>
        <v>5</v>
      </c>
      <c r="BQ16" s="104">
        <f t="shared" si="11"/>
        <v>15</v>
      </c>
      <c r="BR16" s="109">
        <f t="shared" si="9"/>
        <v>105</v>
      </c>
      <c r="BS16" s="109">
        <v>35</v>
      </c>
      <c r="BT16" s="109">
        <v>35</v>
      </c>
      <c r="BU16" s="109">
        <v>35</v>
      </c>
    </row>
    <row r="17" spans="1:73" ht="18" customHeight="1" thickBot="1">
      <c r="C17" s="110" t="s">
        <v>194</v>
      </c>
      <c r="E17" s="322">
        <f>IF(BC8&gt;2,AC16,D7/G7)</f>
        <v>800</v>
      </c>
      <c r="F17" s="323"/>
      <c r="G17" s="322">
        <f>IF(BC8&gt;2,AC17,0)</f>
        <v>0</v>
      </c>
      <c r="H17" s="323"/>
      <c r="I17" s="322">
        <f>IF(BC8&gt;3,AC18,0)</f>
        <v>0</v>
      </c>
      <c r="J17" s="323"/>
      <c r="K17" s="322">
        <f>IF(BC8&gt;4,AC19,0)</f>
        <v>0</v>
      </c>
      <c r="L17" s="323"/>
      <c r="M17" s="322">
        <f>IF(BC8&gt;5,AC20,0)</f>
        <v>0</v>
      </c>
      <c r="N17" s="323"/>
      <c r="Q17" s="137">
        <f>IF($BC$8=5,HLOOKUP($D$7,Dados!$A$88:$AA$98,3),0)</f>
        <v>0</v>
      </c>
      <c r="R17" s="138"/>
      <c r="S17" s="137">
        <f t="shared" ref="S17:S23" si="16">IF($BC$8=5,IF(AM$6=2,"X","S")&amp;AA17&amp;"-"&amp;IF(AM$6=2,"X","S")&amp;AB17,0)</f>
        <v>0</v>
      </c>
      <c r="T17" s="139"/>
      <c r="U17" s="138"/>
      <c r="V17" s="137">
        <f t="shared" ref="V17:V23" si="17">IF($BC$8=5,Q17/G$7,0)</f>
        <v>0</v>
      </c>
      <c r="W17" s="138"/>
      <c r="AA17" s="130">
        <f>HLOOKUP($D$7+1,Dados!$A$88:$AA$98,3)</f>
        <v>2</v>
      </c>
      <c r="AB17" s="130">
        <f>HLOOKUP($D$7+2,Dados!$A$88:$AA$98,3)</f>
        <v>5</v>
      </c>
      <c r="AC17" s="130">
        <f>IF($BC$8&gt;2,HLOOKUP($D$7+3,Dados!$A$88:$AB$98,3),0)/G7</f>
        <v>0</v>
      </c>
      <c r="AD17" s="130"/>
      <c r="AH17" s="252" t="s">
        <v>558</v>
      </c>
      <c r="AN17" s="316">
        <v>1</v>
      </c>
      <c r="AO17" s="316"/>
      <c r="AP17" s="316">
        <f>AN17+1</f>
        <v>2</v>
      </c>
      <c r="AQ17" s="316"/>
      <c r="AR17" s="316">
        <f>AP17+1</f>
        <v>3</v>
      </c>
      <c r="AS17" s="316"/>
      <c r="AT17" s="316">
        <f>AR17+1</f>
        <v>4</v>
      </c>
      <c r="AU17" s="316"/>
      <c r="AV17" s="316">
        <f>AT17+1</f>
        <v>5</v>
      </c>
      <c r="AW17" s="316"/>
      <c r="AX17" s="316">
        <f>AV17+1</f>
        <v>6</v>
      </c>
      <c r="AY17" s="316"/>
      <c r="AZ17" s="316">
        <f>AX17+1</f>
        <v>7</v>
      </c>
      <c r="BA17" s="316"/>
      <c r="BB17" s="316">
        <f>AZ17+1</f>
        <v>8</v>
      </c>
      <c r="BC17" s="316"/>
      <c r="BD17" s="316">
        <f>BB17+1</f>
        <v>9</v>
      </c>
      <c r="BE17" s="316"/>
      <c r="BF17" s="316">
        <f>BD17+1</f>
        <v>10</v>
      </c>
      <c r="BG17" s="316"/>
      <c r="BI17" s="102"/>
      <c r="BM17" s="102"/>
      <c r="BN17" s="102"/>
      <c r="BP17" s="109">
        <f t="shared" si="10"/>
        <v>5</v>
      </c>
      <c r="BQ17" s="104">
        <f t="shared" si="11"/>
        <v>16</v>
      </c>
      <c r="BR17" s="109">
        <f t="shared" si="9"/>
        <v>110</v>
      </c>
      <c r="BS17" s="109">
        <v>55</v>
      </c>
      <c r="BT17" s="109">
        <v>55</v>
      </c>
      <c r="BU17" s="109">
        <v>0</v>
      </c>
    </row>
    <row r="18" spans="1:73" ht="18" customHeight="1">
      <c r="A18" s="88"/>
      <c r="E18" s="101" t="str">
        <f>IF(SUM(E17:N17)=D7/G7,"","checar espiras")</f>
        <v/>
      </c>
      <c r="H18" s="88"/>
      <c r="I18" s="88"/>
      <c r="J18" s="88"/>
      <c r="K18" s="88" t="str">
        <f>IF(X7=0,"","+"&amp;X7&amp;" espira(s) no sentido anti-horário")</f>
        <v/>
      </c>
      <c r="Q18" s="137">
        <f>IF($BC$8=5,HLOOKUP($D$7,Dados!$A$88:$AA$98,4),0)</f>
        <v>0</v>
      </c>
      <c r="R18" s="138"/>
      <c r="S18" s="137">
        <f t="shared" si="16"/>
        <v>0</v>
      </c>
      <c r="T18" s="139"/>
      <c r="U18" s="138"/>
      <c r="V18" s="137">
        <f t="shared" si="17"/>
        <v>0</v>
      </c>
      <c r="W18" s="138"/>
      <c r="AA18" s="130">
        <f>HLOOKUP($D$7+1,Dados!$A$88:$AA$98,4)</f>
        <v>1</v>
      </c>
      <c r="AB18" s="130">
        <f>HLOOKUP($D$7+2,Dados!$A$88:$AA$98,4)</f>
        <v>4</v>
      </c>
      <c r="AC18" s="130">
        <f>IF($BC$8&gt;3,HLOOKUP($D$7+3,Dados!$A$88:$AB$98,4),0)/G7</f>
        <v>0</v>
      </c>
      <c r="AD18" s="130"/>
      <c r="AH18" s="252" t="s">
        <v>547</v>
      </c>
      <c r="AN18" s="314">
        <f>AJ28</f>
        <v>1</v>
      </c>
      <c r="AO18" s="314"/>
      <c r="AP18" s="314">
        <f>AJ29</f>
        <v>1</v>
      </c>
      <c r="AQ18" s="314"/>
      <c r="AR18" s="314">
        <f>AJ30</f>
        <v>1</v>
      </c>
      <c r="AS18" s="314"/>
      <c r="AT18" s="314">
        <f>AJ31</f>
        <v>0</v>
      </c>
      <c r="AU18" s="314"/>
      <c r="AV18" s="314">
        <f>AJ32</f>
        <v>0</v>
      </c>
      <c r="AW18" s="314"/>
      <c r="AX18" s="314">
        <f>AJ33</f>
        <v>0</v>
      </c>
      <c r="AY18" s="314"/>
      <c r="AZ18" s="314">
        <f>AJ34</f>
        <v>0</v>
      </c>
      <c r="BA18" s="314"/>
      <c r="BB18" s="314">
        <f>AJ35</f>
        <v>0</v>
      </c>
      <c r="BC18" s="314"/>
      <c r="BD18" s="314">
        <f>AJ36</f>
        <v>0</v>
      </c>
      <c r="BE18" s="314"/>
      <c r="BF18" s="314">
        <f>AJ37</f>
        <v>0</v>
      </c>
      <c r="BG18" s="314"/>
      <c r="BP18" s="109">
        <f t="shared" si="10"/>
        <v>5</v>
      </c>
      <c r="BQ18" s="104">
        <f t="shared" si="11"/>
        <v>17</v>
      </c>
      <c r="BR18" s="109">
        <f t="shared" si="9"/>
        <v>115</v>
      </c>
      <c r="BS18" s="109">
        <v>55</v>
      </c>
      <c r="BT18" s="109">
        <v>35</v>
      </c>
      <c r="BU18" s="109">
        <v>25</v>
      </c>
    </row>
    <row r="19" spans="1:73" ht="18" customHeight="1">
      <c r="B19" s="88"/>
      <c r="I19" s="88"/>
      <c r="J19" s="88"/>
      <c r="K19" s="88"/>
      <c r="L19" s="88"/>
      <c r="Q19" s="137">
        <f>IF($BC$8=5,HLOOKUP($D$7,Dados!$A$88:$AA$98,5),0)</f>
        <v>0</v>
      </c>
      <c r="R19" s="138"/>
      <c r="S19" s="137">
        <f t="shared" si="16"/>
        <v>0</v>
      </c>
      <c r="T19" s="139"/>
      <c r="U19" s="138"/>
      <c r="V19" s="137">
        <f t="shared" si="17"/>
        <v>0</v>
      </c>
      <c r="W19" s="138"/>
      <c r="AA19" s="130">
        <f>HLOOKUP($D$7+1,Dados!$A$88:$AA$98,5)</f>
        <v>2</v>
      </c>
      <c r="AB19" s="130">
        <f>HLOOKUP($D$7+2,Dados!$A$88:$AA$98,5)</f>
        <v>4</v>
      </c>
      <c r="AC19" s="130">
        <f>IF($BC$8&gt;4,HLOOKUP($D$7+3,Dados!$A$88:$AB$98,5),0)/G7</f>
        <v>0</v>
      </c>
      <c r="AD19" s="130"/>
      <c r="AH19" s="252" t="s">
        <v>544</v>
      </c>
      <c r="AN19" s="331">
        <f>IF($BX$4=1,$V$13+2*$AQ$16*($AN$16-AN17)/$AN$16,$V$13-2*$AQ$16-2*$AQ$16*AN17/$AN$16-2*$Q$13)</f>
        <v>291.33333333333331</v>
      </c>
      <c r="AO19" s="331"/>
      <c r="AP19" s="331">
        <f>IF($BX$4=1,$V$13+2*$AQ$16*($AN$16-AP17)/$AN$16,$V$13-2*$AQ$16-2*$AQ$16*AP17/$AN$16-2*$Q$13)</f>
        <v>281.66666666666669</v>
      </c>
      <c r="AQ19" s="331"/>
      <c r="AR19" s="331">
        <f>IF($BX$4=1,$V$13+2*$AQ$16*($AN$16-AR17)/$AN$16,$V$13-2*$AQ$16-2*$AQ$16*AR17/$AN$16-2*$Q$13)</f>
        <v>272</v>
      </c>
      <c r="AS19" s="331"/>
      <c r="AT19" s="331">
        <f>IF($BX$4=1,$V$13+2*$AQ$16*($AN$16-AT17)/$AN$16,$V$13-2*$AQ$16-2*$AQ$16*AT17/$AN$16-2*$Q$13)</f>
        <v>262.33333333333331</v>
      </c>
      <c r="AU19" s="331"/>
      <c r="AV19" s="331">
        <f>IF($BX$4=1,$V$13+2*$AQ$16*($AN$16-AV17)/$AN$16,$V$13-2*$AQ$16-2*$AQ$16*AV17/$AN$16-2*$Q$13)</f>
        <v>252.66666666666669</v>
      </c>
      <c r="AW19" s="331"/>
      <c r="AX19" s="331">
        <f>IF($BX$4=1,$V$13+2*$AQ$16*($AN$16-AX17)/$AN$16,$V$13-2*$AQ$16-2*$AQ$16*AX17/$AN$16-2*$Q$13)</f>
        <v>243</v>
      </c>
      <c r="AY19" s="331"/>
      <c r="AZ19" s="331">
        <f>IF($BX$4=1,$V$13+2*$AQ$16*($AN$16-AZ17)/$AN$16,$V$13-2*$AQ$16-2*$AQ$16*AZ17/$AN$16-2*$Q$13)</f>
        <v>233.33333333333331</v>
      </c>
      <c r="BA19" s="331"/>
      <c r="BB19" s="331">
        <f>IF($BX$4=1,$V$13+2*$AQ$16*($AN$16-BB17)/$AN$16,$V$13-2*$AQ$16-2*$AQ$16*BB17/$AN$16-2*$Q$13)</f>
        <v>223.66666666666669</v>
      </c>
      <c r="BC19" s="331"/>
      <c r="BD19" s="331">
        <f>IF($BX$4=1,$V$13+2*$AQ$16*($AN$16-BD17)/$AN$16,$V$13-2*$AQ$16-2*$AQ$16*BD17/$AN$16-2*$Q$13)</f>
        <v>214</v>
      </c>
      <c r="BE19" s="331"/>
      <c r="BF19" s="331">
        <f>IF($BX$4=1,$V$13+2*$AQ$16*($AN$16-BF17)/$AN$16,$V$13-2*$AQ$16-2*$AQ$16*BF17/$AN$16-2*$Q$13)</f>
        <v>204.33333333333331</v>
      </c>
      <c r="BG19" s="331"/>
      <c r="BH19" s="109" t="s">
        <v>30</v>
      </c>
      <c r="BP19" s="109">
        <f t="shared" si="10"/>
        <v>5</v>
      </c>
      <c r="BQ19" s="104">
        <f t="shared" si="11"/>
        <v>18</v>
      </c>
      <c r="BR19" s="109">
        <f t="shared" si="9"/>
        <v>120</v>
      </c>
      <c r="BS19" s="109">
        <v>85</v>
      </c>
      <c r="BT19" s="109">
        <v>35</v>
      </c>
      <c r="BU19" s="109">
        <v>0</v>
      </c>
    </row>
    <row r="20" spans="1:73" ht="18" customHeight="1">
      <c r="B20" s="88"/>
      <c r="C20" s="88"/>
      <c r="D20" s="344" t="str">
        <f>"nuc Øe "&amp;AP23</f>
        <v>nuc Øe 381</v>
      </c>
      <c r="E20" s="344"/>
      <c r="F20" s="344"/>
      <c r="G20" s="52"/>
      <c r="H20" s="88"/>
      <c r="I20" s="88"/>
      <c r="J20" s="130" t="str">
        <f>IF(AC84&gt;0,"Cálculo Fora dos Limites de Norma","")</f>
        <v>Cálculo Fora dos Limites de Norma</v>
      </c>
      <c r="K20" s="130"/>
      <c r="L20" s="130"/>
      <c r="M20" s="130"/>
      <c r="N20" s="130"/>
      <c r="O20" s="130"/>
      <c r="P20" s="130"/>
      <c r="Q20" s="137">
        <f>IF($BC$8=5,HLOOKUP($D$7,Dados!$A$88:$AA$98,6),0)</f>
        <v>0</v>
      </c>
      <c r="R20" s="138"/>
      <c r="S20" s="137">
        <f t="shared" si="16"/>
        <v>0</v>
      </c>
      <c r="T20" s="139"/>
      <c r="U20" s="138"/>
      <c r="V20" s="137">
        <f t="shared" si="17"/>
        <v>0</v>
      </c>
      <c r="W20" s="138"/>
      <c r="AA20" s="130">
        <f>HLOOKUP($D$7+1,Dados!$A$88:$AA$98,6)</f>
        <v>1</v>
      </c>
      <c r="AB20" s="130">
        <f>HLOOKUP($D$7+2,Dados!$A$88:$AA$98,6)</f>
        <v>3</v>
      </c>
      <c r="AC20" s="130">
        <f>IF($BC$8&gt;5,D7/G7-SUM(AC16:AC19),0)</f>
        <v>0</v>
      </c>
      <c r="AD20" s="130"/>
      <c r="AH20" s="253" t="s">
        <v>545</v>
      </c>
      <c r="AN20" s="316">
        <f>INT(AN19*PI()/($AN$11+0.1)/$BL$4)</f>
        <v>327</v>
      </c>
      <c r="AO20" s="316"/>
      <c r="AP20" s="316">
        <f>INT(AP19*PI()/($AN$11+0.1)/$BL$4)</f>
        <v>316</v>
      </c>
      <c r="AQ20" s="316"/>
      <c r="AR20" s="316">
        <f>INT(AR19*PI()/($AN$11+0.1)/$BL$4)</f>
        <v>305</v>
      </c>
      <c r="AS20" s="316"/>
      <c r="AT20" s="316">
        <f>INT(AT19*PI()/($AN$11+0.1)/$BL$4)</f>
        <v>294</v>
      </c>
      <c r="AU20" s="316"/>
      <c r="AV20" s="316">
        <f>INT(AV19*PI()/($AN$11+0.1)/$BL$4)</f>
        <v>283</v>
      </c>
      <c r="AW20" s="316"/>
      <c r="AX20" s="316">
        <f>INT(AX19*PI()/($AN$11+0.1)/$BL$4)</f>
        <v>273</v>
      </c>
      <c r="AY20" s="316"/>
      <c r="AZ20" s="316">
        <f>INT(AZ19*PI()/($AN$11+0.1)/$BL$4)</f>
        <v>262</v>
      </c>
      <c r="BA20" s="316"/>
      <c r="BB20" s="316">
        <f>INT(BB19*PI()/($AN$11+0.1)/$BL$4)</f>
        <v>251</v>
      </c>
      <c r="BC20" s="316"/>
      <c r="BD20" s="316">
        <f>INT(BD19*PI()/($AN$11+0.1)/$BL$4)</f>
        <v>240</v>
      </c>
      <c r="BE20" s="316"/>
      <c r="BF20" s="316">
        <f>INT(BF19*PI()/($AN$11+0.1)/$BL$4)</f>
        <v>229</v>
      </c>
      <c r="BG20" s="316"/>
      <c r="BP20" s="109">
        <f t="shared" si="10"/>
        <v>5</v>
      </c>
      <c r="BQ20" s="104">
        <f t="shared" si="11"/>
        <v>19</v>
      </c>
      <c r="BR20" s="109">
        <f t="shared" si="9"/>
        <v>125</v>
      </c>
      <c r="BS20" s="109">
        <v>55</v>
      </c>
      <c r="BT20" s="109">
        <v>35</v>
      </c>
      <c r="BU20" s="109">
        <v>35</v>
      </c>
    </row>
    <row r="21" spans="1:73" ht="18" customHeight="1">
      <c r="B21" s="88"/>
      <c r="C21" s="344" t="str">
        <f>"nuc Øi "&amp;AN23</f>
        <v>nuc Øi 301</v>
      </c>
      <c r="D21" s="344"/>
      <c r="E21" s="344"/>
      <c r="F21" s="345">
        <f>Q13</f>
        <v>40</v>
      </c>
      <c r="G21" s="346"/>
      <c r="H21" s="88"/>
      <c r="I21" s="88"/>
      <c r="J21" s="88"/>
      <c r="Q21" s="137">
        <f>IF($BC$8=5,HLOOKUP($D$7,Dados!$A$88:$AA$98,7),0)</f>
        <v>0</v>
      </c>
      <c r="R21" s="138"/>
      <c r="S21" s="137">
        <f t="shared" si="16"/>
        <v>0</v>
      </c>
      <c r="T21" s="139"/>
      <c r="U21" s="138"/>
      <c r="V21" s="137">
        <f t="shared" si="17"/>
        <v>0</v>
      </c>
      <c r="W21" s="138"/>
      <c r="AA21" s="130">
        <f>HLOOKUP($D$7+1,Dados!$A$88:$AA$98,7)</f>
        <v>2</v>
      </c>
      <c r="AB21" s="130">
        <f>HLOOKUP($D$7+2,Dados!$A$88:$AA$98,7)</f>
        <v>3</v>
      </c>
      <c r="AC21" s="130" t="s">
        <v>196</v>
      </c>
      <c r="AD21" s="130"/>
      <c r="AH21" s="252" t="s">
        <v>549</v>
      </c>
      <c r="AN21" s="314">
        <f>IF(AN18=0,0,IF(HLOOKUP(AN18,$AH$39:$AL$41,3)/HLOOKUP(AN18,$AH$39:$AL$41,2)&gt;AN20,1,0))</f>
        <v>0</v>
      </c>
      <c r="AO21" s="314"/>
      <c r="AP21" s="314">
        <f t="shared" ref="AP21" si="18">IF(AP18=0,0,IF(HLOOKUP(AP18,$AH$39:$AL$41,3)/HLOOKUP(AP18,$AH$39:$AL$41,2)&gt;AP20,1,0))</f>
        <v>0</v>
      </c>
      <c r="AQ21" s="314"/>
      <c r="AR21" s="314">
        <f t="shared" ref="AR21" si="19">IF(AR18=0,0,IF(HLOOKUP(AR18,$AH$39:$AL$41,3)/HLOOKUP(AR18,$AH$39:$AL$41,2)&gt;AR20,1,0))</f>
        <v>0</v>
      </c>
      <c r="AS21" s="314"/>
      <c r="AT21" s="314">
        <f t="shared" ref="AT21" si="20">IF(AT18=0,0,IF(HLOOKUP(AT18,$AH$39:$AL$41,3)/HLOOKUP(AT18,$AH$39:$AL$41,2)&gt;AT20,1,0))</f>
        <v>0</v>
      </c>
      <c r="AU21" s="314"/>
      <c r="AV21" s="314">
        <f t="shared" ref="AV21" si="21">IF(AV18=0,0,IF(HLOOKUP(AV18,$AH$39:$AL$41,3)/HLOOKUP(AV18,$AH$39:$AL$41,2)&gt;AV20,1,0))</f>
        <v>0</v>
      </c>
      <c r="AW21" s="314"/>
      <c r="AZ21" s="314">
        <f>SUM(AN21:AW21)</f>
        <v>0</v>
      </c>
      <c r="BA21" s="314"/>
      <c r="BB21" s="255" t="s">
        <v>550</v>
      </c>
      <c r="BP21" s="109">
        <f t="shared" si="10"/>
        <v>5</v>
      </c>
      <c r="BQ21" s="104">
        <f t="shared" ref="BQ21:BQ28" si="22">BQ20+1</f>
        <v>20</v>
      </c>
      <c r="BR21" s="109">
        <f t="shared" si="9"/>
        <v>130</v>
      </c>
      <c r="BS21" s="109">
        <v>55</v>
      </c>
      <c r="BT21" s="109">
        <v>40</v>
      </c>
      <c r="BU21" s="109">
        <v>35</v>
      </c>
    </row>
    <row r="22" spans="1:73" ht="18" customHeight="1" thickBot="1">
      <c r="B22" s="88"/>
      <c r="C22" s="88"/>
      <c r="D22" s="88"/>
      <c r="E22" s="117"/>
      <c r="F22" s="88"/>
      <c r="G22" s="100"/>
      <c r="H22" s="88"/>
      <c r="I22" s="118"/>
      <c r="J22" s="118"/>
      <c r="K22" s="118"/>
      <c r="Q22" s="137">
        <f>IF($BC$8=5,HLOOKUP($D$7,Dados!$A$88:$AA$98,8),0)</f>
        <v>0</v>
      </c>
      <c r="R22" s="138"/>
      <c r="S22" s="137">
        <f t="shared" si="16"/>
        <v>0</v>
      </c>
      <c r="T22" s="139"/>
      <c r="U22" s="138"/>
      <c r="V22" s="137">
        <f t="shared" si="17"/>
        <v>0</v>
      </c>
      <c r="W22" s="138"/>
      <c r="AA22" s="130">
        <f>HLOOKUP($D$7+1,Dados!$A$88:$AA$98,8)</f>
        <v>3</v>
      </c>
      <c r="AB22" s="130">
        <f>HLOOKUP($D$7+2,Dados!$A$88:$AA$98,8)</f>
        <v>4</v>
      </c>
      <c r="AC22" s="130" t="s">
        <v>196</v>
      </c>
      <c r="AD22" s="130"/>
      <c r="AH22" s="252" t="s">
        <v>559</v>
      </c>
      <c r="AJ22" s="102"/>
      <c r="AK22" s="102"/>
      <c r="AL22" s="102"/>
      <c r="AM22" s="102"/>
      <c r="AN22" s="330">
        <f>IF(AN18&gt;0,ROUND(AN19*PI()/VLOOKUP(AN17,$Q$28:$U$37,3)/$BL$4,2),0)</f>
        <v>3.43</v>
      </c>
      <c r="AO22" s="330"/>
      <c r="AP22" s="330">
        <f t="shared" ref="AP22" si="23">IF(AP18&gt;0,ROUND(AP19*PI()/VLOOKUP(AP17,$Q$28:$U$37,3)/$BL$4,2),0)</f>
        <v>3.32</v>
      </c>
      <c r="AQ22" s="330"/>
      <c r="AR22" s="330">
        <f t="shared" ref="AR22" si="24">IF(AR18&gt;0,ROUND(AR19*PI()/VLOOKUP(AR17,$Q$28:$U$37,3)/$BL$4,2),0)</f>
        <v>3.2</v>
      </c>
      <c r="AS22" s="330"/>
      <c r="AT22" s="330">
        <f t="shared" ref="AT22" si="25">IF(AT18&gt;0,ROUND(AT19*PI()/VLOOKUP(AT17,$Q$28:$U$37,3)/$BL$4,2),0)</f>
        <v>0</v>
      </c>
      <c r="AU22" s="330"/>
      <c r="AV22" s="330">
        <f t="shared" ref="AV22" si="26">IF(AV18&gt;0,ROUND(AV19*PI()/VLOOKUP(AV17,$Q$28:$U$37,3)/$BL$4,2),0)</f>
        <v>0</v>
      </c>
      <c r="AW22" s="330"/>
      <c r="AX22" s="330">
        <f t="shared" ref="AX22" si="27">IF(AX18&gt;0,ROUND(AX19*PI()/VLOOKUP(AX17,$Q$28:$U$37,3)/$BL$4,2),0)</f>
        <v>0</v>
      </c>
      <c r="AY22" s="330"/>
      <c r="AZ22" s="330">
        <f t="shared" ref="AZ22" si="28">IF(AZ18&gt;0,ROUND(AZ19*PI()/VLOOKUP(AZ17,$Q$28:$U$37,3)/$BL$4,2),0)</f>
        <v>0</v>
      </c>
      <c r="BA22" s="330"/>
      <c r="BB22" s="330">
        <f t="shared" ref="BB22" si="29">IF(BB18&gt;0,ROUND(BB19*PI()/VLOOKUP(BB17,$Q$28:$U$37,3)/$BL$4,2),0)</f>
        <v>0</v>
      </c>
      <c r="BC22" s="330"/>
      <c r="BD22" s="330">
        <f t="shared" ref="BD22" si="30">IF(BD18&gt;0,ROUND(BD19*PI()/VLOOKUP(BD17,$Q$28:$U$37,3)/$BL$4,2),0)</f>
        <v>0</v>
      </c>
      <c r="BE22" s="330"/>
      <c r="BF22" s="330">
        <f t="shared" ref="BF22" si="31">IF(BF18&gt;0,ROUND(BF19*PI()/VLOOKUP(BF17,$Q$28:$U$37,3)/$BL$4,2),0)</f>
        <v>0</v>
      </c>
      <c r="BG22" s="330"/>
      <c r="BP22" s="109">
        <f t="shared" si="10"/>
        <v>5</v>
      </c>
      <c r="BQ22" s="104">
        <f t="shared" si="22"/>
        <v>21</v>
      </c>
      <c r="BR22" s="109">
        <f t="shared" si="9"/>
        <v>135</v>
      </c>
      <c r="BS22" s="109">
        <v>55</v>
      </c>
      <c r="BT22" s="109">
        <v>55</v>
      </c>
      <c r="BU22" s="109">
        <v>25</v>
      </c>
    </row>
    <row r="23" spans="1:73" ht="18" customHeight="1" thickTop="1" thickBot="1">
      <c r="B23" s="88"/>
      <c r="C23" s="119"/>
      <c r="D23" s="119"/>
      <c r="E23" s="120"/>
      <c r="F23" s="121"/>
      <c r="G23" s="121"/>
      <c r="H23" s="122"/>
      <c r="I23" s="123"/>
      <c r="J23" s="118"/>
      <c r="K23" s="88"/>
      <c r="Q23" s="137">
        <f>IF($BC$8=5,HLOOKUP($D$7,Dados!$A$88:$AA$98,9),0)</f>
        <v>0</v>
      </c>
      <c r="R23" s="138"/>
      <c r="S23" s="137">
        <f t="shared" si="16"/>
        <v>0</v>
      </c>
      <c r="T23" s="139"/>
      <c r="U23" s="138"/>
      <c r="V23" s="137">
        <f t="shared" si="17"/>
        <v>0</v>
      </c>
      <c r="W23" s="138"/>
      <c r="AA23" s="130">
        <f>HLOOKUP($D$7+1,Dados!$A$88:$AA$98,9)</f>
        <v>1</v>
      </c>
      <c r="AB23" s="130">
        <f>HLOOKUP($D$7+2,Dados!$A$88:$AA$98,9)</f>
        <v>2</v>
      </c>
      <c r="AC23" s="130" t="s">
        <v>196</v>
      </c>
      <c r="AD23" s="130"/>
      <c r="AH23" s="252" t="s">
        <v>554</v>
      </c>
      <c r="AN23" s="316">
        <f>IF(BX4=1,V13+2*AQ16,V13-2*AQ16-2*Q13)</f>
        <v>301</v>
      </c>
      <c r="AO23" s="316"/>
      <c r="AP23" s="316">
        <f>IF(BX4=1,V13+2*AQ16+2*Q13,V13-2*AQ16)</f>
        <v>381</v>
      </c>
      <c r="AQ23" s="316"/>
      <c r="AR23" s="252" t="s">
        <v>30</v>
      </c>
      <c r="BP23" s="109">
        <f t="shared" si="10"/>
        <v>5</v>
      </c>
      <c r="BQ23" s="104">
        <f t="shared" si="22"/>
        <v>22</v>
      </c>
      <c r="BR23" s="109">
        <f t="shared" si="9"/>
        <v>140</v>
      </c>
      <c r="BS23" s="109">
        <v>85</v>
      </c>
      <c r="BT23" s="109">
        <v>55</v>
      </c>
      <c r="BU23" s="109">
        <v>0</v>
      </c>
    </row>
    <row r="24" spans="1:73" ht="18" customHeight="1" thickTop="1" thickBot="1">
      <c r="B24" s="88"/>
      <c r="C24" s="88"/>
      <c r="D24" s="88"/>
      <c r="E24" s="124"/>
      <c r="F24" s="144"/>
      <c r="G24" s="145"/>
      <c r="H24" s="125"/>
      <c r="I24" s="124"/>
      <c r="J24" s="347">
        <f>BR38</f>
        <v>25</v>
      </c>
      <c r="K24" s="347">
        <f>J24+2*AV16</f>
        <v>64</v>
      </c>
      <c r="Q24" s="137">
        <f>IF($BC$8=5,HLOOKUP($D$7,Dados!$A$88:$AA$98,10),0)</f>
        <v>0</v>
      </c>
      <c r="R24" s="138"/>
      <c r="S24" s="137" t="str">
        <f>IF(Q24=0,"",IF($BC$8=5,IF(AM$6=2,"X","S")&amp;AA24&amp;"-"&amp;IF(AM$6=2,"X","S")&amp;AB24,0))</f>
        <v/>
      </c>
      <c r="T24" s="139"/>
      <c r="U24" s="138"/>
      <c r="V24" s="137" t="str">
        <f>IF(Q24=0,"",IF($BC$8=5,Q24/G$7,0))</f>
        <v/>
      </c>
      <c r="W24" s="138"/>
      <c r="AA24" s="130">
        <f>HLOOKUP($D$7+1,Dados!$A$88:$AA$98,10)</f>
        <v>0</v>
      </c>
      <c r="AB24" s="130">
        <f>HLOOKUP($D$7+2,Dados!$A$88:$AA$98,10)</f>
        <v>0</v>
      </c>
      <c r="AG24" s="110"/>
      <c r="AH24" s="252" t="s">
        <v>553</v>
      </c>
      <c r="AN24" s="316">
        <f>AN23-2*AQ16</f>
        <v>272</v>
      </c>
      <c r="AO24" s="316"/>
      <c r="AP24" s="316">
        <f>AP23+2*AQ16</f>
        <v>410</v>
      </c>
      <c r="AQ24" s="316"/>
      <c r="AR24" s="252" t="s">
        <v>30</v>
      </c>
      <c r="BP24" s="109">
        <f t="shared" si="10"/>
        <v>5</v>
      </c>
      <c r="BQ24" s="104">
        <f t="shared" si="22"/>
        <v>23</v>
      </c>
      <c r="BR24" s="109">
        <f t="shared" si="9"/>
        <v>145</v>
      </c>
      <c r="BS24" s="109">
        <v>55</v>
      </c>
      <c r="BT24" s="109">
        <v>55</v>
      </c>
      <c r="BU24" s="109">
        <v>35</v>
      </c>
    </row>
    <row r="25" spans="1:73" ht="18" customHeight="1" thickBot="1">
      <c r="B25" s="88"/>
      <c r="C25" s="88"/>
      <c r="D25" s="88"/>
      <c r="E25" s="124"/>
      <c r="F25" s="142"/>
      <c r="G25" s="143"/>
      <c r="H25" s="125"/>
      <c r="I25" s="124"/>
      <c r="J25" s="347"/>
      <c r="K25" s="347"/>
      <c r="Q25" s="137">
        <f>IF($BC$8=5,HLOOKUP($D$7,Dados!$A$88:$AA$98,11),0)</f>
        <v>0</v>
      </c>
      <c r="R25" s="138"/>
      <c r="S25" s="137" t="str">
        <f>IF(Q25=0,"",IF($BC$8=5,IF(AM$6=2,"X","S")&amp;AA25&amp;"-"&amp;IF(AM$6=2,"X","S")&amp;AB25,0))</f>
        <v/>
      </c>
      <c r="T25" s="139"/>
      <c r="U25" s="138"/>
      <c r="V25" s="137" t="str">
        <f>IF(Q25=0,"",IF($BC$8=5,Q25/G$7,0))</f>
        <v/>
      </c>
      <c r="W25" s="138"/>
      <c r="AA25" s="130">
        <f>HLOOKUP($D$7+1,Dados!$A$88:$AA$98,11)</f>
        <v>0</v>
      </c>
      <c r="AB25" s="130">
        <f>HLOOKUP($D$7+2,Dados!$A$88:$AA$98,11)</f>
        <v>0</v>
      </c>
      <c r="AH25" s="252" t="s">
        <v>552</v>
      </c>
      <c r="AJ25" s="102"/>
      <c r="AK25" s="102"/>
      <c r="AL25" s="102"/>
      <c r="AM25" s="102"/>
      <c r="AN25" s="314">
        <f>0.05*2*2*0+2</f>
        <v>2</v>
      </c>
      <c r="AO25" s="314"/>
      <c r="AP25" s="314">
        <f>0.05*2*1</f>
        <v>0.1</v>
      </c>
      <c r="AQ25" s="314"/>
      <c r="AR25" s="314">
        <f>0.05*2*1</f>
        <v>0.1</v>
      </c>
      <c r="AS25" s="314"/>
      <c r="AT25" s="190" t="s">
        <v>380</v>
      </c>
      <c r="AX25" s="253" t="s">
        <v>557</v>
      </c>
      <c r="BP25" s="109">
        <f t="shared" si="10"/>
        <v>5</v>
      </c>
      <c r="BQ25" s="104">
        <f t="shared" si="22"/>
        <v>24</v>
      </c>
      <c r="BR25" s="109">
        <f t="shared" si="9"/>
        <v>150</v>
      </c>
      <c r="BS25" s="109">
        <v>85</v>
      </c>
      <c r="BT25" s="109">
        <v>40</v>
      </c>
      <c r="BU25" s="109">
        <v>25</v>
      </c>
    </row>
    <row r="26" spans="1:73" ht="18" customHeight="1" thickBot="1">
      <c r="B26" s="88"/>
      <c r="C26" s="88"/>
      <c r="D26" s="88"/>
      <c r="E26" s="124"/>
      <c r="F26" s="147"/>
      <c r="G26" s="146"/>
      <c r="H26" s="125"/>
      <c r="I26" s="123"/>
      <c r="J26" s="357"/>
      <c r="K26" s="347"/>
      <c r="T26" s="153"/>
      <c r="BP26" s="109">
        <f t="shared" ref="BP26:BP28" si="32">BR26-BR25</f>
        <v>5</v>
      </c>
      <c r="BQ26" s="104">
        <f t="shared" si="22"/>
        <v>25</v>
      </c>
      <c r="BR26" s="109">
        <f t="shared" si="9"/>
        <v>155</v>
      </c>
      <c r="BS26" s="109">
        <v>85</v>
      </c>
      <c r="BT26" s="109">
        <v>35</v>
      </c>
      <c r="BU26" s="109">
        <v>35</v>
      </c>
    </row>
    <row r="27" spans="1:73" ht="18" customHeight="1" thickTop="1" thickBot="1">
      <c r="B27" s="88"/>
      <c r="C27" s="126"/>
      <c r="D27" s="126"/>
      <c r="E27" s="127"/>
      <c r="F27" s="128"/>
      <c r="G27" s="128"/>
      <c r="H27" s="129"/>
      <c r="I27" s="118"/>
      <c r="J27" s="118"/>
      <c r="K27" s="118"/>
      <c r="Q27" s="134" t="s">
        <v>209</v>
      </c>
      <c r="R27" s="135"/>
      <c r="S27" s="134" t="s">
        <v>195</v>
      </c>
      <c r="T27" s="136"/>
      <c r="U27" s="135"/>
      <c r="V27" s="134" t="s">
        <v>211</v>
      </c>
      <c r="W27" s="135"/>
      <c r="AA27" s="257" t="s">
        <v>561</v>
      </c>
      <c r="AB27" s="130"/>
      <c r="AC27" s="257" t="s">
        <v>560</v>
      </c>
      <c r="AD27" s="130"/>
      <c r="AH27" s="86" t="s">
        <v>212</v>
      </c>
      <c r="AI27" s="109" t="s">
        <v>215</v>
      </c>
      <c r="AJ27" s="109" t="s">
        <v>210</v>
      </c>
      <c r="AK27" s="109" t="s">
        <v>213</v>
      </c>
      <c r="AL27" s="150" t="s">
        <v>214</v>
      </c>
      <c r="BP27" s="109">
        <f t="shared" si="32"/>
        <v>5</v>
      </c>
      <c r="BQ27" s="104">
        <f t="shared" si="22"/>
        <v>26</v>
      </c>
      <c r="BR27" s="109">
        <f t="shared" si="9"/>
        <v>160</v>
      </c>
      <c r="BS27" s="109">
        <v>85</v>
      </c>
      <c r="BT27" s="109">
        <v>40</v>
      </c>
      <c r="BU27" s="109">
        <v>35</v>
      </c>
    </row>
    <row r="28" spans="1:73" ht="18" customHeight="1">
      <c r="B28" s="88"/>
      <c r="C28" s="88"/>
      <c r="D28" s="100"/>
      <c r="E28" s="88"/>
      <c r="F28" s="88"/>
      <c r="G28" s="88"/>
      <c r="H28" s="100"/>
      <c r="I28" s="88"/>
      <c r="J28" s="88"/>
      <c r="K28" s="88"/>
      <c r="Q28" s="134">
        <v>1</v>
      </c>
      <c r="R28" s="135"/>
      <c r="S28" s="134">
        <f t="shared" ref="S28:S32" si="33">IF(Q28&gt;AN$16,0,ROUND(HLOOKUP(VLOOKUP(Q28,$AH$28:$AL$37,3),$AH$39:$AL$41,3)/HLOOKUP(VLOOKUP(Q28,$AH$28:$AL$37,3),$AH$39:$AL$41,2),2))+IF(Q28=AN$16,X$7,0)</f>
        <v>266.67</v>
      </c>
      <c r="T28" s="136"/>
      <c r="U28" s="135"/>
      <c r="V28" s="134">
        <f>IF(Q28&gt;AN$16,0,HLOOKUP(Q28,$AN$17:$BH$22,6))</f>
        <v>3.43</v>
      </c>
      <c r="W28" s="135"/>
      <c r="AA28" s="130">
        <f t="shared" ref="AA28:AA37" si="34">IF(Q28="--",0,HLOOKUP(VLOOKUP(Q28,$AH$28:$AL$37,3),$AH$39:$AL$41,3))</f>
        <v>800</v>
      </c>
      <c r="AB28" s="130"/>
      <c r="AC28" s="130">
        <f>S28</f>
        <v>266.67</v>
      </c>
      <c r="AD28" s="130"/>
      <c r="AH28" s="86">
        <v>1</v>
      </c>
      <c r="AI28" s="101">
        <f t="shared" ref="AI28:AI37" si="35">IF(AH28&gt;AN$16,0,HLOOKUP(AJ28,$AH$39:$AL$40,2))</f>
        <v>3</v>
      </c>
      <c r="AJ28" s="149">
        <v>1</v>
      </c>
      <c r="AK28" s="101">
        <f>COUNTIFS(AJ$28:AJ28,AJ28)</f>
        <v>1</v>
      </c>
      <c r="AL28" s="101">
        <f t="shared" ref="AL28:AL37" si="36">IF(AI28=AK28,1,0)</f>
        <v>0</v>
      </c>
      <c r="AM28" s="101"/>
      <c r="BP28" s="109">
        <f t="shared" si="32"/>
        <v>5</v>
      </c>
      <c r="BQ28" s="104">
        <f t="shared" si="22"/>
        <v>27</v>
      </c>
      <c r="BR28" s="109">
        <f t="shared" si="9"/>
        <v>165</v>
      </c>
      <c r="BS28" s="109">
        <v>85</v>
      </c>
      <c r="BT28" s="109">
        <v>40</v>
      </c>
      <c r="BU28" s="109">
        <v>40</v>
      </c>
    </row>
    <row r="29" spans="1:73" ht="18" customHeight="1">
      <c r="B29" s="88"/>
      <c r="C29" s="88" t="str">
        <f>"TC Øi "&amp;AN24</f>
        <v>TC Øi 272</v>
      </c>
      <c r="D29" s="100"/>
      <c r="E29" s="88"/>
      <c r="F29" s="344">
        <f>(AP24-AN24)/2</f>
        <v>69</v>
      </c>
      <c r="G29" s="344"/>
      <c r="H29" s="100"/>
      <c r="I29" s="88"/>
      <c r="J29" s="88"/>
      <c r="K29" s="88"/>
      <c r="Q29" s="134">
        <f t="shared" ref="Q29:Q37" si="37">IF($AN$16&gt;Q28,Q28+1,"--")</f>
        <v>2</v>
      </c>
      <c r="R29" s="135"/>
      <c r="S29" s="134">
        <f t="shared" si="33"/>
        <v>266.67</v>
      </c>
      <c r="T29" s="136"/>
      <c r="U29" s="135"/>
      <c r="V29" s="134">
        <f t="shared" ref="V29:V37" si="38">IF(Q29&gt;AN$16,0,HLOOKUP(Q29,$AN$17:$BH$22,6))</f>
        <v>3.32</v>
      </c>
      <c r="W29" s="135"/>
      <c r="AA29" s="130">
        <f t="shared" si="34"/>
        <v>800</v>
      </c>
      <c r="AB29" s="130"/>
      <c r="AC29" s="130">
        <f t="shared" ref="AC29:AC37" si="39">IF(AJ29=AJ28,AC28+S29,S29)</f>
        <v>533.34</v>
      </c>
      <c r="AD29" s="130"/>
      <c r="AH29" s="86">
        <f>AH28+1</f>
        <v>2</v>
      </c>
      <c r="AI29" s="101">
        <f t="shared" si="35"/>
        <v>3</v>
      </c>
      <c r="AJ29" s="149">
        <f t="shared" ref="AJ29:AJ37" si="40">IF(AH29&gt;AN$16,0,AJ28+AL28)</f>
        <v>1</v>
      </c>
      <c r="AK29" s="101">
        <f>COUNTIFS(AJ$28:AJ29,AJ29)</f>
        <v>2</v>
      </c>
      <c r="AL29" s="101">
        <f t="shared" si="36"/>
        <v>0</v>
      </c>
      <c r="AM29" s="101"/>
      <c r="BP29" s="109">
        <f>BR29-BR28</f>
        <v>5</v>
      </c>
      <c r="BQ29" s="104">
        <f t="shared" ref="BQ29:BQ36" si="41">BQ28+1</f>
        <v>28</v>
      </c>
      <c r="BR29" s="109">
        <f t="shared" si="9"/>
        <v>170</v>
      </c>
      <c r="BS29" s="109">
        <v>85</v>
      </c>
      <c r="BT29" s="109">
        <v>85</v>
      </c>
      <c r="BU29" s="109">
        <v>0</v>
      </c>
    </row>
    <row r="30" spans="1:73" ht="18" customHeight="1">
      <c r="B30" s="88"/>
      <c r="C30" s="88"/>
      <c r="D30" s="344" t="str">
        <f>"TC Øe "&amp;AP24</f>
        <v>TC Øe 410</v>
      </c>
      <c r="E30" s="344"/>
      <c r="F30" s="344"/>
      <c r="G30" s="344"/>
      <c r="H30" s="100"/>
      <c r="I30" s="88"/>
      <c r="J30" s="88"/>
      <c r="K30" s="88"/>
      <c r="Q30" s="134">
        <f t="shared" si="37"/>
        <v>3</v>
      </c>
      <c r="R30" s="135"/>
      <c r="S30" s="134">
        <f t="shared" si="33"/>
        <v>266.67</v>
      </c>
      <c r="T30" s="136"/>
      <c r="U30" s="135"/>
      <c r="V30" s="134">
        <f t="shared" si="38"/>
        <v>3.2</v>
      </c>
      <c r="W30" s="135"/>
      <c r="AA30" s="130">
        <f t="shared" si="34"/>
        <v>800</v>
      </c>
      <c r="AB30" s="130"/>
      <c r="AC30" s="130">
        <f t="shared" si="39"/>
        <v>800.01</v>
      </c>
      <c r="AD30" s="130"/>
      <c r="AH30" s="86">
        <f t="shared" ref="AH30:AH37" si="42">AH29+1</f>
        <v>3</v>
      </c>
      <c r="AI30" s="101">
        <f t="shared" si="35"/>
        <v>3</v>
      </c>
      <c r="AJ30" s="149">
        <f t="shared" si="40"/>
        <v>1</v>
      </c>
      <c r="AK30" s="101">
        <f>COUNTIFS(AJ$28:AJ30,AJ30)</f>
        <v>3</v>
      </c>
      <c r="AL30" s="101">
        <f t="shared" si="36"/>
        <v>1</v>
      </c>
      <c r="AM30" s="101"/>
      <c r="BP30" s="109">
        <f t="shared" ref="BP30:BP36" si="43">BR30-BR29</f>
        <v>5</v>
      </c>
      <c r="BQ30" s="104">
        <f t="shared" si="41"/>
        <v>29</v>
      </c>
      <c r="BR30" s="109">
        <f t="shared" si="9"/>
        <v>175</v>
      </c>
      <c r="BS30" s="109">
        <v>85</v>
      </c>
      <c r="BT30" s="109">
        <v>55</v>
      </c>
      <c r="BU30" s="109">
        <v>35</v>
      </c>
    </row>
    <row r="31" spans="1:73" ht="18" customHeight="1">
      <c r="B31" s="88"/>
      <c r="C31" s="88"/>
      <c r="D31" s="88"/>
      <c r="E31" s="88"/>
      <c r="F31" s="88"/>
      <c r="G31" s="88"/>
      <c r="H31" s="88"/>
      <c r="I31" s="88"/>
      <c r="J31" s="88"/>
      <c r="K31" s="88"/>
      <c r="L31" s="88"/>
      <c r="Q31" s="134" t="str">
        <f t="shared" si="37"/>
        <v>--</v>
      </c>
      <c r="R31" s="135"/>
      <c r="S31" s="134">
        <f t="shared" si="33"/>
        <v>0</v>
      </c>
      <c r="T31" s="136"/>
      <c r="U31" s="135"/>
      <c r="V31" s="134">
        <f t="shared" si="38"/>
        <v>0</v>
      </c>
      <c r="W31" s="135"/>
      <c r="AA31" s="130">
        <f t="shared" si="34"/>
        <v>0</v>
      </c>
      <c r="AB31" s="130"/>
      <c r="AC31" s="130">
        <f t="shared" si="39"/>
        <v>0</v>
      </c>
      <c r="AD31" s="130"/>
      <c r="AH31" s="86">
        <f t="shared" si="42"/>
        <v>4</v>
      </c>
      <c r="AI31" s="101">
        <f t="shared" si="35"/>
        <v>0</v>
      </c>
      <c r="AJ31" s="149">
        <f t="shared" si="40"/>
        <v>0</v>
      </c>
      <c r="AK31" s="101">
        <f>COUNTIFS(AJ$28:AJ31,AJ31)</f>
        <v>1</v>
      </c>
      <c r="AL31" s="101">
        <f t="shared" si="36"/>
        <v>0</v>
      </c>
      <c r="AM31" s="101"/>
      <c r="BP31" s="109">
        <f t="shared" si="43"/>
        <v>5</v>
      </c>
      <c r="BQ31" s="104">
        <f t="shared" si="41"/>
        <v>30</v>
      </c>
      <c r="BR31" s="109">
        <f t="shared" si="9"/>
        <v>180</v>
      </c>
      <c r="BS31" s="109">
        <v>85</v>
      </c>
      <c r="BT31" s="109">
        <v>55</v>
      </c>
      <c r="BU31" s="109">
        <v>40</v>
      </c>
    </row>
    <row r="32" spans="1:73" ht="18" customHeight="1">
      <c r="A32" s="88"/>
      <c r="B32" s="88"/>
      <c r="C32" s="88"/>
      <c r="D32" s="88"/>
      <c r="E32" s="88"/>
      <c r="F32" s="88"/>
      <c r="G32" s="88"/>
      <c r="H32" s="88"/>
      <c r="I32" s="88"/>
      <c r="J32" s="88"/>
      <c r="K32" s="88"/>
      <c r="L32" s="88"/>
      <c r="M32" s="88"/>
      <c r="N32" s="88"/>
      <c r="Q32" s="134" t="str">
        <f t="shared" si="37"/>
        <v>--</v>
      </c>
      <c r="R32" s="135"/>
      <c r="S32" s="134">
        <f t="shared" si="33"/>
        <v>0</v>
      </c>
      <c r="T32" s="136"/>
      <c r="U32" s="135"/>
      <c r="V32" s="134">
        <f t="shared" si="38"/>
        <v>0</v>
      </c>
      <c r="W32" s="135"/>
      <c r="AA32" s="130">
        <f t="shared" si="34"/>
        <v>0</v>
      </c>
      <c r="AB32" s="130"/>
      <c r="AC32" s="130">
        <f t="shared" si="39"/>
        <v>0</v>
      </c>
      <c r="AD32" s="130"/>
      <c r="AH32" s="86">
        <f t="shared" si="42"/>
        <v>5</v>
      </c>
      <c r="AI32" s="101">
        <f t="shared" si="35"/>
        <v>0</v>
      </c>
      <c r="AJ32" s="149">
        <f t="shared" si="40"/>
        <v>0</v>
      </c>
      <c r="AK32" s="101">
        <f>COUNTIFS(AJ$28:AJ32,AJ32)</f>
        <v>2</v>
      </c>
      <c r="AL32" s="101">
        <f t="shared" si="36"/>
        <v>0</v>
      </c>
      <c r="AM32" s="101"/>
      <c r="BP32" s="109">
        <f t="shared" si="43"/>
        <v>15</v>
      </c>
      <c r="BQ32" s="104">
        <f t="shared" si="41"/>
        <v>31</v>
      </c>
      <c r="BR32" s="109">
        <f t="shared" si="9"/>
        <v>195</v>
      </c>
      <c r="BS32" s="109">
        <v>85</v>
      </c>
      <c r="BT32" s="109">
        <v>55</v>
      </c>
      <c r="BU32" s="109">
        <v>55</v>
      </c>
    </row>
    <row r="33" spans="1:74" ht="18" customHeight="1">
      <c r="A33" s="88"/>
      <c r="B33" s="88"/>
      <c r="C33" s="88"/>
      <c r="D33" s="88"/>
      <c r="E33" s="88"/>
      <c r="F33" s="88"/>
      <c r="G33" s="154" t="s">
        <v>627</v>
      </c>
      <c r="H33" s="314">
        <f>AN24-20</f>
        <v>252</v>
      </c>
      <c r="I33" s="314"/>
      <c r="J33" s="88" t="s">
        <v>30</v>
      </c>
      <c r="K33" s="88"/>
      <c r="L33" s="88"/>
      <c r="M33" s="88"/>
      <c r="N33" s="88"/>
      <c r="Q33" s="134" t="str">
        <f t="shared" si="37"/>
        <v>--</v>
      </c>
      <c r="R33" s="135"/>
      <c r="S33" s="134">
        <f>IF(Q33&gt;AN$16,0,ROUND(HLOOKUP(VLOOKUP(Q33,$AH$28:$AL$37,3),$AH$39:$AL$41,3)/HLOOKUP(VLOOKUP(Q33,$AH$28:$AL$37,3),$AH$39:$AL$41,2),2))+IF(Q33=AN$16,X$7,0)</f>
        <v>0</v>
      </c>
      <c r="T33" s="136"/>
      <c r="U33" s="135"/>
      <c r="V33" s="134">
        <f t="shared" si="38"/>
        <v>0</v>
      </c>
      <c r="W33" s="135"/>
      <c r="AA33" s="130">
        <f t="shared" si="34"/>
        <v>0</v>
      </c>
      <c r="AB33" s="130"/>
      <c r="AC33" s="130">
        <f t="shared" si="39"/>
        <v>0</v>
      </c>
      <c r="AD33" s="130"/>
      <c r="AH33" s="86">
        <f t="shared" si="42"/>
        <v>6</v>
      </c>
      <c r="AI33" s="101">
        <f t="shared" si="35"/>
        <v>0</v>
      </c>
      <c r="AJ33" s="149">
        <f t="shared" si="40"/>
        <v>0</v>
      </c>
      <c r="AK33" s="101">
        <f>COUNTIFS(AJ$28:AJ33,AJ33)</f>
        <v>3</v>
      </c>
      <c r="AL33" s="101">
        <f t="shared" si="36"/>
        <v>0</v>
      </c>
      <c r="AM33" s="101"/>
      <c r="BP33" s="109">
        <f t="shared" si="43"/>
        <v>10</v>
      </c>
      <c r="BQ33" s="104">
        <f t="shared" si="41"/>
        <v>32</v>
      </c>
      <c r="BR33" s="109">
        <f t="shared" si="9"/>
        <v>205</v>
      </c>
      <c r="BS33" s="109">
        <v>85</v>
      </c>
      <c r="BT33" s="109">
        <v>85</v>
      </c>
      <c r="BU33" s="109">
        <v>35</v>
      </c>
    </row>
    <row r="34" spans="1:74" ht="18" customHeight="1">
      <c r="A34" s="88"/>
      <c r="B34" s="88"/>
      <c r="C34" s="88"/>
      <c r="D34" s="88"/>
      <c r="E34" s="88"/>
      <c r="F34" s="88"/>
      <c r="G34" s="154" t="s">
        <v>628</v>
      </c>
      <c r="H34" s="321">
        <f>I57</f>
        <v>0.65500000000000003</v>
      </c>
      <c r="I34" s="321"/>
      <c r="J34" s="109" t="s">
        <v>217</v>
      </c>
      <c r="Q34" s="134" t="str">
        <f t="shared" si="37"/>
        <v>--</v>
      </c>
      <c r="R34" s="135"/>
      <c r="S34" s="134">
        <f t="shared" ref="S34:S37" si="44">IF(Q34&gt;AN$16,0,ROUND(HLOOKUP(VLOOKUP(Q34,$AH$28:$AL$37,3),$AH$39:$AL$41,3)/HLOOKUP(VLOOKUP(Q34,$AH$28:$AL$37,3),$AH$39:$AL$41,2),2))+IF(Q34=AN$16,X$7,0)</f>
        <v>0</v>
      </c>
      <c r="T34" s="136"/>
      <c r="U34" s="135"/>
      <c r="V34" s="134">
        <f t="shared" si="38"/>
        <v>0</v>
      </c>
      <c r="W34" s="135"/>
      <c r="AA34" s="130">
        <f t="shared" si="34"/>
        <v>0</v>
      </c>
      <c r="AB34" s="130"/>
      <c r="AC34" s="130">
        <f t="shared" si="39"/>
        <v>0</v>
      </c>
      <c r="AD34" s="130"/>
      <c r="AH34" s="86">
        <f t="shared" si="42"/>
        <v>7</v>
      </c>
      <c r="AI34" s="101">
        <f t="shared" si="35"/>
        <v>0</v>
      </c>
      <c r="AJ34" s="149">
        <f t="shared" si="40"/>
        <v>0</v>
      </c>
      <c r="AK34" s="101">
        <f>COUNTIFS(AJ$28:AJ34,AJ34)</f>
        <v>4</v>
      </c>
      <c r="AL34" s="101">
        <f t="shared" si="36"/>
        <v>0</v>
      </c>
      <c r="AM34" s="101"/>
      <c r="BP34" s="109">
        <f t="shared" si="43"/>
        <v>5</v>
      </c>
      <c r="BQ34" s="104">
        <f t="shared" si="41"/>
        <v>33</v>
      </c>
      <c r="BR34" s="109">
        <f t="shared" si="9"/>
        <v>210</v>
      </c>
      <c r="BS34" s="109">
        <v>85</v>
      </c>
      <c r="BT34" s="109">
        <v>85</v>
      </c>
      <c r="BU34" s="109">
        <v>40</v>
      </c>
    </row>
    <row r="35" spans="1:74" ht="18" customHeight="1">
      <c r="A35" s="88"/>
      <c r="B35" s="88"/>
      <c r="C35" s="88"/>
      <c r="D35" s="88"/>
      <c r="E35" s="88"/>
      <c r="F35" s="88"/>
      <c r="G35" s="154" t="s">
        <v>629</v>
      </c>
      <c r="H35" s="318">
        <f>I58</f>
        <v>7.68</v>
      </c>
      <c r="I35" s="314"/>
      <c r="J35" s="109" t="str">
        <f>"kg x "&amp;K$5&amp;" pç ="</f>
        <v>kg x 3 pç =</v>
      </c>
      <c r="K35" s="88"/>
      <c r="M35" s="314">
        <f>H35*K$5</f>
        <v>23.04</v>
      </c>
      <c r="N35" s="314"/>
      <c r="O35" s="252" t="s">
        <v>620</v>
      </c>
      <c r="Q35" s="134" t="str">
        <f t="shared" si="37"/>
        <v>--</v>
      </c>
      <c r="R35" s="135"/>
      <c r="S35" s="134">
        <f t="shared" si="44"/>
        <v>0</v>
      </c>
      <c r="T35" s="136"/>
      <c r="U35" s="135"/>
      <c r="V35" s="134">
        <f t="shared" si="38"/>
        <v>0</v>
      </c>
      <c r="W35" s="135"/>
      <c r="AA35" s="130">
        <f t="shared" si="34"/>
        <v>0</v>
      </c>
      <c r="AB35" s="130"/>
      <c r="AC35" s="130">
        <f t="shared" si="39"/>
        <v>0</v>
      </c>
      <c r="AD35" s="130"/>
      <c r="AH35" s="86">
        <f t="shared" si="42"/>
        <v>8</v>
      </c>
      <c r="AI35" s="101">
        <f t="shared" si="35"/>
        <v>0</v>
      </c>
      <c r="AJ35" s="149">
        <f t="shared" si="40"/>
        <v>0</v>
      </c>
      <c r="AK35" s="101">
        <f>COUNTIFS(AJ$28:AJ35,AJ35)</f>
        <v>5</v>
      </c>
      <c r="AL35" s="101">
        <f t="shared" si="36"/>
        <v>0</v>
      </c>
      <c r="AM35" s="101"/>
      <c r="BP35" s="109">
        <f t="shared" si="43"/>
        <v>15</v>
      </c>
      <c r="BQ35" s="104">
        <f t="shared" si="41"/>
        <v>34</v>
      </c>
      <c r="BR35" s="109">
        <f t="shared" si="9"/>
        <v>225</v>
      </c>
      <c r="BS35" s="109">
        <v>85</v>
      </c>
      <c r="BT35" s="109">
        <v>85</v>
      </c>
      <c r="BU35" s="109">
        <v>55</v>
      </c>
    </row>
    <row r="36" spans="1:74" ht="18" customHeight="1">
      <c r="A36" s="88"/>
      <c r="B36" s="88"/>
      <c r="C36" s="88"/>
      <c r="D36" s="88"/>
      <c r="E36" s="88"/>
      <c r="F36" s="88"/>
      <c r="G36" s="154" t="s">
        <v>630</v>
      </c>
      <c r="H36" s="343">
        <f>I51</f>
        <v>7.79</v>
      </c>
      <c r="I36" s="343"/>
      <c r="J36" s="109" t="str">
        <f>"kg x "&amp;K$5&amp;" pç ="</f>
        <v>kg x 3 pç =</v>
      </c>
      <c r="K36" s="88"/>
      <c r="M36" s="314">
        <f>H36*K$5</f>
        <v>23.37</v>
      </c>
      <c r="N36" s="314"/>
      <c r="O36" s="252" t="s">
        <v>620</v>
      </c>
      <c r="Q36" s="134" t="str">
        <f t="shared" si="37"/>
        <v>--</v>
      </c>
      <c r="R36" s="135"/>
      <c r="S36" s="134">
        <f t="shared" si="44"/>
        <v>0</v>
      </c>
      <c r="T36" s="136"/>
      <c r="U36" s="135"/>
      <c r="V36" s="134">
        <f t="shared" si="38"/>
        <v>0</v>
      </c>
      <c r="W36" s="135"/>
      <c r="AA36" s="130">
        <f t="shared" si="34"/>
        <v>0</v>
      </c>
      <c r="AB36" s="130"/>
      <c r="AC36" s="130">
        <f t="shared" si="39"/>
        <v>0</v>
      </c>
      <c r="AD36" s="130"/>
      <c r="AH36" s="86">
        <f t="shared" si="42"/>
        <v>9</v>
      </c>
      <c r="AI36" s="101">
        <f t="shared" si="35"/>
        <v>0</v>
      </c>
      <c r="AJ36" s="149">
        <f t="shared" si="40"/>
        <v>0</v>
      </c>
      <c r="AK36" s="101">
        <f>COUNTIFS(AJ$28:AJ36,AJ36)</f>
        <v>6</v>
      </c>
      <c r="AL36" s="101">
        <f t="shared" si="36"/>
        <v>0</v>
      </c>
      <c r="AM36" s="101"/>
      <c r="BP36" s="109">
        <f t="shared" si="43"/>
        <v>30</v>
      </c>
      <c r="BQ36" s="104">
        <f t="shared" si="41"/>
        <v>35</v>
      </c>
      <c r="BR36" s="109">
        <f t="shared" si="9"/>
        <v>255</v>
      </c>
      <c r="BS36" s="109">
        <v>85</v>
      </c>
      <c r="BT36" s="109">
        <v>85</v>
      </c>
      <c r="BU36" s="109">
        <v>85</v>
      </c>
    </row>
    <row r="37" spans="1:74" ht="18" customHeight="1">
      <c r="A37" s="88"/>
      <c r="B37" s="88"/>
      <c r="C37" s="88"/>
      <c r="D37" s="88"/>
      <c r="H37" s="318">
        <f>H35+H36</f>
        <v>15.469999999999999</v>
      </c>
      <c r="I37" s="314"/>
      <c r="J37" s="91" t="s">
        <v>22</v>
      </c>
      <c r="K37" s="88"/>
      <c r="Q37" s="134" t="str">
        <f t="shared" si="37"/>
        <v>--</v>
      </c>
      <c r="R37" s="135"/>
      <c r="S37" s="134">
        <f t="shared" si="44"/>
        <v>0</v>
      </c>
      <c r="T37" s="136"/>
      <c r="U37" s="135"/>
      <c r="V37" s="134">
        <f t="shared" si="38"/>
        <v>0</v>
      </c>
      <c r="W37" s="135"/>
      <c r="AA37" s="130">
        <f t="shared" si="34"/>
        <v>0</v>
      </c>
      <c r="AB37" s="130"/>
      <c r="AC37" s="130">
        <f t="shared" si="39"/>
        <v>0</v>
      </c>
      <c r="AD37" s="130"/>
      <c r="AH37" s="86">
        <f t="shared" si="42"/>
        <v>10</v>
      </c>
      <c r="AI37" s="101">
        <f t="shared" si="35"/>
        <v>0</v>
      </c>
      <c r="AJ37" s="149">
        <f t="shared" si="40"/>
        <v>0</v>
      </c>
      <c r="AK37" s="101">
        <f>COUNTIFS(AJ$28:AJ37,AJ37)</f>
        <v>7</v>
      </c>
      <c r="AL37" s="101">
        <f t="shared" si="36"/>
        <v>0</v>
      </c>
      <c r="AM37" s="101"/>
      <c r="BQ37" s="105"/>
      <c r="BR37" s="106">
        <v>1</v>
      </c>
    </row>
    <row r="38" spans="1:74" ht="18" customHeight="1">
      <c r="A38" s="88"/>
      <c r="B38" s="88"/>
      <c r="C38" s="88"/>
      <c r="D38" s="88"/>
      <c r="E38" s="88"/>
      <c r="F38" s="88"/>
      <c r="G38" s="154" t="s">
        <v>218</v>
      </c>
      <c r="H38" s="324" t="s">
        <v>219</v>
      </c>
      <c r="I38" s="325"/>
      <c r="J38" s="88"/>
      <c r="K38" s="88"/>
      <c r="R38" s="161" t="str">
        <f>"∑ esp = "</f>
        <v xml:space="preserve">∑ esp = </v>
      </c>
      <c r="S38" s="317">
        <f>SUM(S28:S37)</f>
        <v>800.01</v>
      </c>
      <c r="T38" s="317"/>
      <c r="U38" s="317"/>
      <c r="V38" s="317">
        <f>D7/G7-X7</f>
        <v>800</v>
      </c>
      <c r="W38" s="317"/>
      <c r="Z38" s="151"/>
      <c r="BR38" s="101">
        <f>VLOOKUP(BR37,BQ2:BU36,2)</f>
        <v>25</v>
      </c>
      <c r="BS38" s="101">
        <f>VLOOKUP(BR37,BQ2:BU36,3)</f>
        <v>25</v>
      </c>
      <c r="BT38" s="101">
        <f>VLOOKUP(BR37,BQ2:BU36,4)</f>
        <v>0</v>
      </c>
      <c r="BU38" s="109">
        <f>VLOOKUP(BR37,BQ2:BU36,5)</f>
        <v>0</v>
      </c>
      <c r="BV38" s="109">
        <f>1+IF(BT38=0,0,1)+IF(BU38=0,0,1)</f>
        <v>1</v>
      </c>
    </row>
    <row r="39" spans="1:74" ht="18" customHeight="1">
      <c r="A39" s="88"/>
      <c r="B39" s="88"/>
      <c r="C39" s="88"/>
      <c r="D39" s="88"/>
      <c r="E39" s="88"/>
      <c r="F39" s="88"/>
      <c r="G39" s="88"/>
      <c r="H39" s="88"/>
      <c r="I39" s="88"/>
      <c r="J39" s="88"/>
      <c r="K39" s="88"/>
      <c r="S39" s="356" t="s">
        <v>228</v>
      </c>
      <c r="T39" s="356"/>
      <c r="U39" s="356"/>
      <c r="V39" s="356" t="s">
        <v>229</v>
      </c>
      <c r="W39" s="356"/>
      <c r="AG39" s="109" t="s">
        <v>210</v>
      </c>
      <c r="AH39" s="101">
        <v>1</v>
      </c>
      <c r="AI39" s="101">
        <f>AH39+1</f>
        <v>2</v>
      </c>
      <c r="AJ39" s="101">
        <f t="shared" ref="AJ39:AL39" si="45">AI39+1</f>
        <v>3</v>
      </c>
      <c r="AK39" s="101">
        <f t="shared" si="45"/>
        <v>4</v>
      </c>
      <c r="AL39" s="101">
        <f t="shared" si="45"/>
        <v>5</v>
      </c>
    </row>
    <row r="40" spans="1:74" ht="18" customHeight="1">
      <c r="A40" s="88"/>
      <c r="B40" s="340" t="s">
        <v>220</v>
      </c>
      <c r="C40" s="155"/>
      <c r="D40" s="155"/>
      <c r="E40" s="155"/>
      <c r="F40" s="155"/>
      <c r="G40" s="155"/>
      <c r="H40" s="155"/>
      <c r="I40" s="155"/>
      <c r="J40" s="155"/>
      <c r="K40" s="155"/>
      <c r="L40" s="156"/>
      <c r="M40" s="156"/>
      <c r="N40" s="156"/>
      <c r="O40" s="156"/>
      <c r="P40" s="156"/>
      <c r="Q40" s="156"/>
      <c r="R40" s="156"/>
      <c r="S40" s="156"/>
      <c r="T40" s="156"/>
      <c r="U40" s="156"/>
      <c r="V40" s="156"/>
      <c r="W40" s="156"/>
      <c r="X40" s="157"/>
      <c r="AG40" s="248" t="s">
        <v>556</v>
      </c>
      <c r="AH40" s="101">
        <f>AN15</f>
        <v>3</v>
      </c>
      <c r="AI40" s="101">
        <f>AP15</f>
        <v>0</v>
      </c>
      <c r="AJ40" s="101">
        <f>AR15</f>
        <v>0</v>
      </c>
      <c r="AK40" s="101">
        <f>AT15</f>
        <v>0</v>
      </c>
      <c r="AL40" s="101">
        <f>AV15</f>
        <v>0</v>
      </c>
    </row>
    <row r="41" spans="1:74" ht="18" customHeight="1">
      <c r="A41" s="88"/>
      <c r="B41" s="341"/>
      <c r="C41" s="88"/>
      <c r="D41" s="88"/>
      <c r="E41" s="88"/>
      <c r="F41" s="88"/>
      <c r="G41" s="88"/>
      <c r="H41" s="88"/>
      <c r="I41" s="88"/>
      <c r="J41" s="88"/>
      <c r="K41" s="88"/>
      <c r="X41" s="131"/>
      <c r="AG41" s="248" t="s">
        <v>195</v>
      </c>
      <c r="AH41" s="152">
        <f>E17</f>
        <v>800</v>
      </c>
      <c r="AI41" s="152">
        <f>G17</f>
        <v>0</v>
      </c>
      <c r="AJ41" s="152">
        <f>I17</f>
        <v>0</v>
      </c>
      <c r="AK41" s="152">
        <f>K17</f>
        <v>0</v>
      </c>
      <c r="AL41" s="152">
        <f>M17</f>
        <v>0</v>
      </c>
    </row>
    <row r="42" spans="1:74" ht="18" customHeight="1">
      <c r="A42" s="88"/>
      <c r="B42" s="341"/>
      <c r="C42" s="88"/>
      <c r="D42" s="88"/>
      <c r="E42" s="88"/>
      <c r="F42" s="88"/>
      <c r="G42" s="88"/>
      <c r="H42" s="88"/>
      <c r="I42" s="88"/>
      <c r="J42" s="88"/>
      <c r="K42" s="88"/>
      <c r="X42" s="131"/>
    </row>
    <row r="43" spans="1:74" ht="18" customHeight="1">
      <c r="A43" s="88"/>
      <c r="B43" s="341"/>
      <c r="C43" s="88"/>
      <c r="D43" s="88"/>
      <c r="E43" s="88"/>
      <c r="F43" s="88"/>
      <c r="G43" s="88"/>
      <c r="H43" s="88"/>
      <c r="I43" s="88"/>
      <c r="J43" s="88"/>
      <c r="K43" s="88"/>
      <c r="X43" s="131"/>
    </row>
    <row r="44" spans="1:74" ht="18" customHeight="1">
      <c r="A44" s="88"/>
      <c r="B44" s="342"/>
      <c r="C44" s="118"/>
      <c r="D44" s="118"/>
      <c r="E44" s="118"/>
      <c r="F44" s="118"/>
      <c r="G44" s="118"/>
      <c r="H44" s="118"/>
      <c r="I44" s="118"/>
      <c r="J44" s="118"/>
      <c r="K44" s="118"/>
      <c r="L44" s="158"/>
      <c r="M44" s="158"/>
      <c r="N44" s="158"/>
      <c r="O44" s="158"/>
      <c r="P44" s="158"/>
      <c r="Q44" s="158"/>
      <c r="R44" s="158"/>
      <c r="S44" s="158"/>
      <c r="T44" s="158"/>
      <c r="U44" s="158"/>
      <c r="V44" s="158"/>
      <c r="W44" s="158"/>
      <c r="X44" s="159"/>
      <c r="AU44" s="101"/>
    </row>
    <row r="45" spans="1:74" ht="18" customHeight="1">
      <c r="A45" s="88"/>
      <c r="B45" s="88"/>
      <c r="C45" s="88"/>
      <c r="D45" s="88"/>
      <c r="E45" s="88"/>
      <c r="F45" s="88"/>
      <c r="G45" s="88"/>
      <c r="H45" s="88"/>
      <c r="I45" s="88"/>
      <c r="J45" s="88"/>
      <c r="K45" s="88"/>
      <c r="AU45" s="130"/>
    </row>
    <row r="46" spans="1:74" ht="18" customHeight="1">
      <c r="A46" s="88"/>
      <c r="B46" s="88"/>
      <c r="C46" s="88"/>
      <c r="D46" s="88"/>
      <c r="E46" s="88"/>
      <c r="F46" s="88"/>
      <c r="G46" s="88"/>
      <c r="H46" s="88"/>
      <c r="I46" s="88"/>
      <c r="J46" s="88"/>
      <c r="K46" s="88"/>
      <c r="AB46">
        <v>1</v>
      </c>
      <c r="AC46" s="261" t="s">
        <v>601</v>
      </c>
      <c r="AU46" s="130"/>
    </row>
    <row r="47" spans="1:74" ht="18" customHeight="1">
      <c r="A47" s="88"/>
      <c r="B47" s="88"/>
      <c r="C47" s="88"/>
      <c r="D47" s="88"/>
      <c r="E47" s="88"/>
      <c r="F47" s="88"/>
      <c r="G47" s="88"/>
      <c r="H47" s="88"/>
      <c r="I47" s="88"/>
      <c r="J47" s="88"/>
      <c r="K47" s="88"/>
      <c r="X47" s="160" t="str">
        <f>T3</f>
        <v>TN-185000-223</v>
      </c>
      <c r="AU47" s="130"/>
    </row>
    <row r="48" spans="1:74" ht="18" customHeight="1">
      <c r="A48" s="88"/>
      <c r="B48" s="93" t="s">
        <v>221</v>
      </c>
      <c r="C48" s="88"/>
      <c r="D48" s="88"/>
      <c r="E48" s="88"/>
      <c r="F48" s="88"/>
      <c r="G48" s="88"/>
      <c r="H48" s="88"/>
      <c r="I48" s="88"/>
      <c r="J48" s="88"/>
      <c r="K48" s="88"/>
      <c r="AU48" s="130"/>
    </row>
    <row r="49" spans="1:71" ht="18" customHeight="1">
      <c r="A49" s="88"/>
      <c r="B49" s="91" t="str">
        <f>"S ="&amp;J24&amp;" x "&amp;F21&amp;" x 0.95 / 100 = "</f>
        <v xml:space="preserve">S =25 x 40 x 0.95 / 100 = </v>
      </c>
      <c r="C49" s="88"/>
      <c r="D49" s="88"/>
      <c r="E49" s="88"/>
      <c r="F49" s="88"/>
      <c r="G49" s="88"/>
      <c r="H49" s="88"/>
      <c r="I49" s="327">
        <f>ROUND(J24*F21*0.95/100,2)</f>
        <v>9.5</v>
      </c>
      <c r="J49" s="327"/>
      <c r="K49" s="327"/>
      <c r="L49" s="109" t="s">
        <v>207</v>
      </c>
      <c r="AU49" s="130"/>
    </row>
    <row r="50" spans="1:71" ht="18" customHeight="1">
      <c r="A50" s="88"/>
      <c r="B50" s="91" t="str">
        <f>"ML = ( "&amp;AP23&amp;" + "&amp;AN23&amp;" ) / 2  x  ¶ / 10 = "</f>
        <v xml:space="preserve">ML = ( 381 + 301 ) / 2  x  ¶ / 10 = </v>
      </c>
      <c r="C50" s="88"/>
      <c r="D50" s="88"/>
      <c r="E50" s="88"/>
      <c r="F50" s="88"/>
      <c r="G50" s="88"/>
      <c r="H50" s="88"/>
      <c r="I50" s="327">
        <f>ROUND((AP23+AN23)/2/10*PI(),2)</f>
        <v>107.13</v>
      </c>
      <c r="J50" s="327"/>
      <c r="K50" s="327"/>
      <c r="L50" s="109" t="s">
        <v>222</v>
      </c>
      <c r="AU50" s="130"/>
    </row>
    <row r="51" spans="1:71" ht="18" customHeight="1">
      <c r="A51" s="1"/>
      <c r="B51" s="91" t="str">
        <f>"W = 0.00765 x "&amp;FIXED(I49,2)&amp;" x "&amp;FIXED(I50,2)&amp;"  = "</f>
        <v xml:space="preserve">W = 0.00765 x 9.50 x 107.13  = </v>
      </c>
      <c r="I51" s="327">
        <f>ROUND(0.00765*I49*I50,2)</f>
        <v>7.79</v>
      </c>
      <c r="J51" s="327"/>
      <c r="K51" s="327"/>
      <c r="L51" s="109" t="s">
        <v>22</v>
      </c>
      <c r="AU51" s="130"/>
    </row>
    <row r="52" spans="1:71" ht="18" customHeight="1">
      <c r="AU52" s="130"/>
    </row>
    <row r="53" spans="1:71" ht="18" customHeight="1">
      <c r="B53" s="93" t="s">
        <v>223</v>
      </c>
      <c r="AU53" s="130"/>
    </row>
    <row r="54" spans="1:71" ht="18" customHeight="1">
      <c r="B54" s="109" t="str">
        <f>"Fio "&amp;VLOOKUP(BH11,Dados!A103:D111,2)&amp;" AWG; Ø: "&amp;AN11&amp;"mm; Seção: "</f>
        <v xml:space="preserve">Fio 10 AWG; Ø: 2.695mm; Seção: </v>
      </c>
      <c r="C54" s="88"/>
      <c r="D54" s="88"/>
      <c r="E54" s="88"/>
      <c r="F54" s="88"/>
      <c r="G54" s="88"/>
      <c r="H54" s="88"/>
      <c r="J54" s="320">
        <f>VLOOKUP(BH11,Dados!A103:D111,4)*BL4</f>
        <v>5.2600000000000001E-2</v>
      </c>
      <c r="K54" s="320"/>
      <c r="L54" s="320"/>
      <c r="M54" s="109" t="s">
        <v>207</v>
      </c>
      <c r="O54" s="109" t="str">
        <f>IF(BL4=1,"1 fio","2 fios paralelos")</f>
        <v>1 fio</v>
      </c>
      <c r="AU54" s="130"/>
    </row>
    <row r="55" spans="1:71" ht="18" customHeight="1">
      <c r="B55" s="91" t="str">
        <f>"ML =[ ("&amp;J24&amp;" + "&amp;F21&amp;" + 4 ) x 2 + "&amp;(AQ16+AV16)/2&amp;" x ¶ ] / 1000 = "</f>
        <v xml:space="preserve">ML =[ (25 + 40 + 4 ) x 2 + 17 x ¶ ] / 1000 = </v>
      </c>
      <c r="C55" s="88"/>
      <c r="D55" s="88"/>
      <c r="E55" s="88"/>
      <c r="F55" s="88"/>
      <c r="G55" s="88"/>
      <c r="H55" s="88"/>
      <c r="L55" s="319">
        <f>ROUND(((J24+F21+2*2)*2+(AQ16+AV16)/2*PI())/1000,4)*0+0.205</f>
        <v>0.20499999999999999</v>
      </c>
      <c r="M55" s="319"/>
      <c r="N55" s="319"/>
      <c r="O55" s="109" t="s">
        <v>32</v>
      </c>
      <c r="AN55" s="130"/>
      <c r="AO55" s="130"/>
      <c r="AP55" s="130"/>
      <c r="AQ55" s="130"/>
      <c r="AR55" s="130"/>
      <c r="AS55" s="130"/>
      <c r="AT55" s="130"/>
      <c r="AU55" s="130"/>
    </row>
    <row r="56" spans="1:71" ht="18" customHeight="1">
      <c r="B56" s="165" t="str">
        <f>"L = "&amp;FIXED(S38,0)&amp;" x "&amp;FIXED(L55,4)&amp;"  = "</f>
        <v xml:space="preserve">L = 800 x 0.2050  = </v>
      </c>
      <c r="C56" s="88"/>
      <c r="D56" s="88"/>
      <c r="E56" s="88"/>
      <c r="F56" s="88"/>
      <c r="G56" s="88"/>
      <c r="H56" s="88"/>
      <c r="I56" s="326">
        <f>ROUND(S38*L55,1)</f>
        <v>164</v>
      </c>
      <c r="J56" s="326"/>
      <c r="K56" s="326"/>
      <c r="L56" s="109" t="s">
        <v>32</v>
      </c>
      <c r="AA56" s="92" t="s">
        <v>125</v>
      </c>
      <c r="AN56" s="130"/>
      <c r="AO56" s="130"/>
      <c r="AP56" s="130"/>
      <c r="AQ56" s="130"/>
      <c r="AR56" s="130"/>
      <c r="AS56" s="130"/>
      <c r="AT56" s="130"/>
      <c r="AU56" s="130"/>
    </row>
    <row r="57" spans="1:71" ht="18" customHeight="1">
      <c r="B57" s="91" t="str">
        <f>"R = 0.0021 x "&amp;FIXED(I56,1)&amp;" / "&amp;FIXED(J54,5)&amp;"  = "</f>
        <v xml:space="preserve">R = 0.0021 x 164.0 / 0.05260  = </v>
      </c>
      <c r="I57" s="328">
        <f>ROUND(0.00021*(I56+0)/J54,3)</f>
        <v>0.65500000000000003</v>
      </c>
      <c r="J57" s="328"/>
      <c r="K57" s="328"/>
      <c r="L57" s="115" t="s">
        <v>166</v>
      </c>
      <c r="M57" s="110" t="str">
        <f>IF(O11&gt;0,IF(I57&lt;N57,"&lt;","&gt;"),"")</f>
        <v/>
      </c>
      <c r="N57" s="328" t="str">
        <f>IF(O11&gt;0,O11,"")</f>
        <v/>
      </c>
      <c r="O57" s="328"/>
      <c r="P57" s="328"/>
      <c r="Q57" s="102" t="str">
        <f>IF(O11&gt;0,"Ω","")</f>
        <v/>
      </c>
      <c r="R57" s="148" t="str">
        <f>IF(O11&gt;0,IF(I57&lt;N57,"","ERRO!"),"")</f>
        <v/>
      </c>
      <c r="AA57" s="92" t="s">
        <v>126</v>
      </c>
    </row>
    <row r="58" spans="1:71" ht="18" customHeight="1">
      <c r="B58" s="91" t="str">
        <f>"W = 0.89 x "&amp;FIXED(I56,1)&amp;" x "&amp;FIXED(J54,5)&amp;"  = "</f>
        <v xml:space="preserve">W = 0.89 x 164.0 x 0.05260  = </v>
      </c>
      <c r="I58" s="327">
        <f>ROUND(0.89*I56*J54,2)</f>
        <v>7.68</v>
      </c>
      <c r="J58" s="327"/>
      <c r="K58" s="327"/>
      <c r="L58" s="109" t="s">
        <v>22</v>
      </c>
      <c r="BS58" s="130"/>
    </row>
    <row r="59" spans="1:71" ht="18" customHeight="1">
      <c r="Z59" s="248" t="s">
        <v>133</v>
      </c>
      <c r="AA59" s="313">
        <f>IF(AM6=1,IF(AT4=1,4,IF(RIGHT(VLOOKUP(CC13,CB2:CC12,2),1)="S",2,IF(VLOOKUP(CC13,CB2:CC12,2)&gt;=3,3,1))),IF(AM6=2,IF(AT4=1,6,5),IF(AM6=3,IF(AT4=1,8,7),IF(AT4=1,10,9))))</f>
        <v>5</v>
      </c>
      <c r="AB59" s="313"/>
    </row>
    <row r="60" spans="1:71" ht="18" customHeight="1">
      <c r="B60" s="93" t="s">
        <v>224</v>
      </c>
      <c r="J60" s="109" t="str">
        <f>IF(J61=0,"",IF(J61=100*$Q$7*IF($AT$4=1,$O$9,1),"% RF="&amp;FIXED($Q$7,1),IF($AT$4=1,IF(J61=100*$O$9,"% ALF="&amp;FIXED($O$9,0)),"")))</f>
        <v/>
      </c>
      <c r="M60" s="109" t="str">
        <f>IF(M61=0,"",IF(M61=100*$Q$7*IF($AT$4=1,$O$9,1),"% RF="&amp;FIXED($Q$7,1),IF($AT$4=1,IF(M61=100*$O$9,"% ALF="&amp;FIXED($O$9,0)),"")))</f>
        <v>% RF=2.0</v>
      </c>
      <c r="P60" s="109" t="str">
        <f>IF(P61=0,"",IF(P61=100*$Q$7*IF($AT$4=1,$O$9,1),"% RF="&amp;FIXED($Q$7,1),IF($AT$4=1,IF(P61=100*$O$9,"% ALF="&amp;FIXED($O$9,0)),"")))</f>
        <v/>
      </c>
      <c r="S60" s="109" t="str">
        <f>IF(S61=0,"",IF(S61=100*$Q$7*IF($AT$4=1,$O$9,1),"% RF="&amp;FIXED($Q$7,1),IF($AT$4=1,IF(S61=100*$O$9,"% ALF="&amp;FIXED($O$9,0)),"")))</f>
        <v/>
      </c>
      <c r="V60" s="109" t="str">
        <f>IF(V61=0,"",IF(V61=100*$Q$7*IF($AT$4=1,$O$9,1),"% RF="&amp;FIXED($Q$7,1),IF($AT$4=1,IF(V61=100*$O$9,"% ALF="&amp;FIXED($O$9,0)),"")))</f>
        <v/>
      </c>
    </row>
    <row r="61" spans="1:71" ht="18" customHeight="1">
      <c r="B61" s="252" t="s">
        <v>595</v>
      </c>
      <c r="G61" s="314">
        <f>VLOOKUP($AA$59,'Classes por Norma'!$A$217:$K$226,6)</f>
        <v>100</v>
      </c>
      <c r="H61" s="314"/>
      <c r="J61" s="314">
        <f>VLOOKUP($AA$59,'Classes por Norma'!$A$217:$K$226,7)</f>
        <v>10</v>
      </c>
      <c r="K61" s="314"/>
      <c r="M61" s="314">
        <f>VLOOKUP($AA$59,'Classes por Norma'!$A$217:$K$226,8)</f>
        <v>200</v>
      </c>
      <c r="N61" s="314"/>
      <c r="P61" s="314">
        <f>VLOOKUP($AA$59,'Classes por Norma'!$A$217:$K$226,9)</f>
        <v>0</v>
      </c>
      <c r="Q61" s="314"/>
      <c r="S61" s="314">
        <f>VLOOKUP($AA$59,'Classes por Norma'!$A$217:$K$226,10)</f>
        <v>0</v>
      </c>
      <c r="T61" s="314"/>
      <c r="V61" s="314">
        <f>VLOOKUP($AA$59,'Classes por Norma'!$A$217:$K$226,11)</f>
        <v>0</v>
      </c>
      <c r="W61" s="314"/>
      <c r="X61" s="252" t="s">
        <v>31</v>
      </c>
      <c r="AF61" s="248" t="s">
        <v>609</v>
      </c>
      <c r="AG61" s="130">
        <f>G61</f>
        <v>100</v>
      </c>
      <c r="AH61" s="130"/>
      <c r="AJ61" s="130">
        <f>J61</f>
        <v>10</v>
      </c>
      <c r="AK61" s="130"/>
      <c r="AM61" s="130">
        <f>M61</f>
        <v>200</v>
      </c>
      <c r="AN61" s="130"/>
      <c r="AP61" s="130">
        <f>P61</f>
        <v>0</v>
      </c>
      <c r="AQ61" s="130"/>
      <c r="AS61" s="130">
        <f>S61</f>
        <v>0</v>
      </c>
      <c r="AT61" s="130"/>
      <c r="AV61" s="130">
        <f>V61</f>
        <v>0</v>
      </c>
      <c r="AW61" s="130"/>
      <c r="BB61" s="284" t="s">
        <v>633</v>
      </c>
      <c r="BK61" s="296" t="s">
        <v>672</v>
      </c>
      <c r="BL61" s="296"/>
      <c r="BM61" s="296"/>
      <c r="BN61" s="296"/>
      <c r="BO61" s="296"/>
      <c r="BP61" s="296"/>
    </row>
    <row r="62" spans="1:71" ht="18" customHeight="1">
      <c r="A62" s="252"/>
      <c r="B62" s="289" t="s">
        <v>660</v>
      </c>
      <c r="G62" s="314">
        <f>$G$7*G61/100</f>
        <v>5</v>
      </c>
      <c r="H62" s="314"/>
      <c r="J62" s="314">
        <f>$G$7*J61/100</f>
        <v>0.5</v>
      </c>
      <c r="K62" s="314"/>
      <c r="M62" s="314">
        <f>$G$7*M61/100</f>
        <v>10</v>
      </c>
      <c r="N62" s="314"/>
      <c r="P62" s="314">
        <f>$G$7*P61/100</f>
        <v>0</v>
      </c>
      <c r="Q62" s="314"/>
      <c r="S62" s="314">
        <f>$G$7*S61/100</f>
        <v>0</v>
      </c>
      <c r="T62" s="314"/>
      <c r="V62" s="314">
        <f>$G$7*V61/100</f>
        <v>0</v>
      </c>
      <c r="W62" s="314"/>
      <c r="X62" s="252" t="s">
        <v>197</v>
      </c>
      <c r="AF62" s="296"/>
      <c r="AG62" s="275" t="s">
        <v>608</v>
      </c>
      <c r="AH62" s="275"/>
      <c r="AJ62" s="275" t="s">
        <v>608</v>
      </c>
      <c r="AK62" s="275"/>
      <c r="AM62" s="275" t="s">
        <v>608</v>
      </c>
      <c r="AN62" s="275"/>
      <c r="AP62" s="275" t="s">
        <v>608</v>
      </c>
      <c r="AQ62" s="275"/>
      <c r="AS62" s="275" t="s">
        <v>608</v>
      </c>
      <c r="AT62" s="275"/>
      <c r="AV62" s="275" t="s">
        <v>608</v>
      </c>
      <c r="AW62" s="275"/>
      <c r="BB62" s="275" t="s">
        <v>631</v>
      </c>
      <c r="BC62" s="275"/>
      <c r="BD62" s="275" t="s">
        <v>656</v>
      </c>
      <c r="BE62" s="275"/>
      <c r="BF62" s="275" t="s">
        <v>655</v>
      </c>
      <c r="BG62" s="275"/>
      <c r="BK62" s="275" t="s">
        <v>673</v>
      </c>
      <c r="BL62" s="275"/>
      <c r="BM62" s="275" t="s">
        <v>674</v>
      </c>
      <c r="BN62" s="275"/>
      <c r="BO62" s="275" t="s">
        <v>675</v>
      </c>
      <c r="BP62" s="275"/>
    </row>
    <row r="63" spans="1:71" ht="18" customHeight="1">
      <c r="B63" s="289" t="s">
        <v>646</v>
      </c>
      <c r="G63" s="314">
        <f>ROUND(U9,3)</f>
        <v>1.8</v>
      </c>
      <c r="H63" s="314"/>
      <c r="J63" s="314"/>
      <c r="K63" s="314"/>
      <c r="M63" s="314"/>
      <c r="N63" s="314"/>
      <c r="P63" s="314"/>
      <c r="Q63" s="314"/>
      <c r="S63" s="314"/>
      <c r="T63" s="314"/>
      <c r="V63" s="314"/>
      <c r="W63" s="314"/>
      <c r="X63" s="115" t="s">
        <v>166</v>
      </c>
      <c r="AF63" s="303" t="s">
        <v>676</v>
      </c>
      <c r="AG63" s="283">
        <f>VLOOKUP(AG$65,$BB$63:$BG$98,1)</f>
        <v>500</v>
      </c>
      <c r="AH63" s="283"/>
      <c r="AJ63" s="283">
        <f>VLOOKUP(AJ$65,$BB$63:$BG$98,1)</f>
        <v>50</v>
      </c>
      <c r="AK63" s="283"/>
      <c r="AM63" s="283">
        <f>VLOOKUP(AM$65,$BB$63:$BG$98,1)</f>
        <v>1000</v>
      </c>
      <c r="AN63" s="283"/>
      <c r="AP63" s="283" t="e">
        <f>VLOOKUP(AP$65,$BB$63:$BG$98,1)</f>
        <v>#N/A</v>
      </c>
      <c r="AQ63" s="283"/>
      <c r="AS63" s="283" t="e">
        <f>VLOOKUP(AS$65,$BB$63:$BG$98,1)</f>
        <v>#N/A</v>
      </c>
      <c r="AT63" s="283"/>
      <c r="AV63" s="283" t="e">
        <f>VLOOKUP(AV$65,$BB$63:$BG$98,1)</f>
        <v>#N/A</v>
      </c>
      <c r="AW63" s="283"/>
      <c r="BB63" s="285">
        <v>0</v>
      </c>
      <c r="BC63" s="283"/>
      <c r="BD63" s="285">
        <f>BJ63/980000</f>
        <v>0</v>
      </c>
      <c r="BE63" s="283"/>
      <c r="BF63" s="285">
        <v>1E-3</v>
      </c>
      <c r="BG63" s="283"/>
      <c r="BK63" s="297">
        <v>0</v>
      </c>
      <c r="BL63" s="297"/>
      <c r="BM63" s="298">
        <v>1E-4</v>
      </c>
      <c r="BN63" s="298"/>
      <c r="BO63" s="297">
        <v>0.01</v>
      </c>
      <c r="BP63" s="298"/>
    </row>
    <row r="64" spans="1:71" ht="18" customHeight="1">
      <c r="B64" s="289" t="s">
        <v>648</v>
      </c>
      <c r="G64" s="314">
        <f>ROUND($G63*$X$9,3)</f>
        <v>1.62</v>
      </c>
      <c r="H64" s="314"/>
      <c r="J64" s="314"/>
      <c r="K64" s="314"/>
      <c r="M64" s="314"/>
      <c r="N64" s="314"/>
      <c r="P64" s="314"/>
      <c r="Q64" s="314"/>
      <c r="S64" s="314"/>
      <c r="T64" s="314"/>
      <c r="V64" s="314"/>
      <c r="W64" s="314"/>
      <c r="X64" s="115" t="s">
        <v>166</v>
      </c>
      <c r="AF64" s="303" t="s">
        <v>677</v>
      </c>
      <c r="AG64" s="283">
        <f>VLOOKUP(AG$65+IF(AG$65&lt;=50,10,IF(AG$65&lt;=1000,100,1000)),$BB$63:$BG$98,1)</f>
        <v>600</v>
      </c>
      <c r="AH64" s="283"/>
      <c r="AJ64" s="283">
        <f>VLOOKUP(AJ$65+IF(AJ$65&lt;=50,10,IF(AJ$65&lt;=1000,100,1000)),$BB$63:$BG$98,1)</f>
        <v>100</v>
      </c>
      <c r="AK64" s="283"/>
      <c r="AM64" s="283">
        <f>VLOOKUP(AM$65+IF(AM$65&lt;=50,10,IF(AM$65&lt;=1000,100,1000)),$BB$63:$BG$98,1)</f>
        <v>2000</v>
      </c>
      <c r="AN64" s="283"/>
      <c r="AP64" s="283" t="e">
        <f>VLOOKUP(AP$65+IF(AP$65&lt;=50,10,IF(AP$65&lt;=1000,100,1000)),$BB$63:$BG$98,1)</f>
        <v>#VALUE!</v>
      </c>
      <c r="AQ64" s="283"/>
      <c r="AS64" s="283" t="e">
        <f>VLOOKUP(AS$65+IF(AS$65&lt;=50,10,IF(AS$65&lt;=1000,100,1000)),$BB$63:$BG$98,1)</f>
        <v>#VALUE!</v>
      </c>
      <c r="AT64" s="283"/>
      <c r="AV64" s="283" t="e">
        <f>VLOOKUP(AV$65+IF(AV$65&lt;=50,10,IF(AV$65&lt;=1000,100,1000)),$BB$63:$BG$98,1)</f>
        <v>#VALUE!</v>
      </c>
      <c r="AW64" s="283"/>
      <c r="BB64" s="283">
        <f>Curva_Nelson!D292</f>
        <v>10</v>
      </c>
      <c r="BC64" s="283"/>
      <c r="BD64" s="283">
        <f>Curva_Nelson!E292</f>
        <v>82</v>
      </c>
      <c r="BE64" s="283"/>
      <c r="BF64" s="283">
        <f>Curva_Nelson!F292</f>
        <v>1.8500000000000001E-3</v>
      </c>
      <c r="BG64" s="283"/>
      <c r="BK64" s="297">
        <f t="shared" ref="BK64:BK124" si="46">BK63+0.02</f>
        <v>0.02</v>
      </c>
      <c r="BL64" s="297"/>
      <c r="BM64" s="298">
        <v>1E-3</v>
      </c>
      <c r="BN64" s="298"/>
      <c r="BO64" s="297">
        <f>BO63+0.02</f>
        <v>0.03</v>
      </c>
      <c r="BP64" s="298"/>
    </row>
    <row r="65" spans="2:68" ht="18" customHeight="1">
      <c r="B65" s="289" t="s">
        <v>647</v>
      </c>
      <c r="G65" s="314">
        <f>ROUND(G63*SIN(ACOS($X$9)),3)</f>
        <v>0.78500000000000003</v>
      </c>
      <c r="H65" s="314"/>
      <c r="J65" s="314"/>
      <c r="K65" s="314"/>
      <c r="M65" s="314"/>
      <c r="N65" s="314"/>
      <c r="P65" s="314"/>
      <c r="Q65" s="314"/>
      <c r="S65" s="314"/>
      <c r="T65" s="314"/>
      <c r="V65" s="314"/>
      <c r="W65" s="314"/>
      <c r="X65" s="115" t="s">
        <v>166</v>
      </c>
      <c r="AF65" s="303" t="s">
        <v>608</v>
      </c>
      <c r="AG65" s="283">
        <f>G70</f>
        <v>596</v>
      </c>
      <c r="AH65" s="283"/>
      <c r="AJ65" s="283">
        <f>J70</f>
        <v>59</v>
      </c>
      <c r="AK65" s="283"/>
      <c r="AM65" s="283">
        <f>M70</f>
        <v>1189</v>
      </c>
      <c r="AN65" s="283"/>
      <c r="AP65" s="283" t="str">
        <f>P70</f>
        <v/>
      </c>
      <c r="AQ65" s="283"/>
      <c r="AS65" s="283" t="str">
        <f>S70</f>
        <v/>
      </c>
      <c r="AT65" s="283"/>
      <c r="AV65" s="283" t="str">
        <f>V70</f>
        <v/>
      </c>
      <c r="AW65" s="283"/>
      <c r="BB65" s="283">
        <f>Curva_Nelson!D293</f>
        <v>20</v>
      </c>
      <c r="BC65" s="283"/>
      <c r="BD65" s="283">
        <f>Curva_Nelson!E293</f>
        <v>81</v>
      </c>
      <c r="BE65" s="283"/>
      <c r="BF65" s="283">
        <f>Curva_Nelson!F293</f>
        <v>2.3E-3</v>
      </c>
      <c r="BG65" s="283"/>
      <c r="BK65" s="297">
        <f t="shared" si="46"/>
        <v>0.04</v>
      </c>
      <c r="BL65" s="297"/>
      <c r="BM65" s="298">
        <v>2.5000000000000001E-3</v>
      </c>
      <c r="BN65" s="298"/>
      <c r="BO65" s="297">
        <f t="shared" ref="BO65:BO83" si="47">BO64+0.02</f>
        <v>0.05</v>
      </c>
      <c r="BP65" s="298"/>
    </row>
    <row r="66" spans="2:68" ht="18" customHeight="1">
      <c r="B66" s="289" t="s">
        <v>649</v>
      </c>
      <c r="G66" s="315">
        <f>ROUND($I$57+G64,3)</f>
        <v>2.2749999999999999</v>
      </c>
      <c r="H66" s="315"/>
      <c r="J66" s="314"/>
      <c r="K66" s="314"/>
      <c r="M66" s="314"/>
      <c r="N66" s="314"/>
      <c r="P66" s="314"/>
      <c r="Q66" s="314"/>
      <c r="S66" s="314"/>
      <c r="T66" s="314"/>
      <c r="V66" s="314"/>
      <c r="W66" s="314"/>
      <c r="X66" s="115" t="s">
        <v>166</v>
      </c>
      <c r="AF66" s="296"/>
      <c r="AG66" s="275" t="s">
        <v>657</v>
      </c>
      <c r="AH66" s="275"/>
      <c r="AJ66" s="275" t="str">
        <f>AG66</f>
        <v>Ângulo fs</v>
      </c>
      <c r="AK66" s="275"/>
      <c r="AM66" s="275" t="str">
        <f>AJ66</f>
        <v>Ângulo fs</v>
      </c>
      <c r="AN66" s="275"/>
      <c r="AP66" s="275" t="str">
        <f>AM66</f>
        <v>Ângulo fs</v>
      </c>
      <c r="AQ66" s="275"/>
      <c r="AS66" s="275" t="str">
        <f>AP66</f>
        <v>Ângulo fs</v>
      </c>
      <c r="AT66" s="275"/>
      <c r="AV66" s="275" t="str">
        <f>AS66</f>
        <v>Ângulo fs</v>
      </c>
      <c r="AW66" s="275"/>
      <c r="BB66" s="283">
        <f>Curva_Nelson!D294</f>
        <v>30</v>
      </c>
      <c r="BC66" s="283"/>
      <c r="BD66" s="283">
        <f>Curva_Nelson!E294</f>
        <v>80</v>
      </c>
      <c r="BE66" s="283"/>
      <c r="BF66" s="283">
        <f>Curva_Nelson!F294</f>
        <v>3.0999999999999999E-3</v>
      </c>
      <c r="BG66" s="283"/>
      <c r="BK66" s="297">
        <f t="shared" si="46"/>
        <v>0.06</v>
      </c>
      <c r="BL66" s="297"/>
      <c r="BM66" s="298">
        <v>4.4999999999999997E-3</v>
      </c>
      <c r="BN66" s="298"/>
      <c r="BO66" s="297">
        <f t="shared" si="47"/>
        <v>7.0000000000000007E-2</v>
      </c>
      <c r="BP66" s="298"/>
    </row>
    <row r="67" spans="2:68" ht="18" customHeight="1">
      <c r="B67" s="289" t="s">
        <v>650</v>
      </c>
      <c r="G67" s="315">
        <f>ROUND(SQRT(G66^2+G65^2),3)</f>
        <v>2.407</v>
      </c>
      <c r="H67" s="315"/>
      <c r="J67" s="314"/>
      <c r="K67" s="314"/>
      <c r="M67" s="314"/>
      <c r="N67" s="314"/>
      <c r="P67" s="314"/>
      <c r="Q67" s="314"/>
      <c r="S67" s="314"/>
      <c r="T67" s="314"/>
      <c r="V67" s="314"/>
      <c r="W67" s="314"/>
      <c r="X67" s="115" t="s">
        <v>166</v>
      </c>
      <c r="AF67" s="304" t="s">
        <v>678</v>
      </c>
      <c r="AG67" s="283">
        <f>VLOOKUP(AG$63,$BB$63:$BG$98,3)</f>
        <v>61.5</v>
      </c>
      <c r="AH67" s="283"/>
      <c r="AJ67" s="283">
        <f>VLOOKUP(AJ$63,$BB$63:$BG$98,3)</f>
        <v>78.5</v>
      </c>
      <c r="AK67" s="283"/>
      <c r="AM67" s="283">
        <f>VLOOKUP(AM$63,$BB$63:$BG$98,3)</f>
        <v>54.5</v>
      </c>
      <c r="AN67" s="283"/>
      <c r="AP67" s="283" t="e">
        <f>VLOOKUP(AP$63,$BB$63:$BG$98,3)</f>
        <v>#N/A</v>
      </c>
      <c r="AQ67" s="283"/>
      <c r="AS67" s="283" t="e">
        <f>VLOOKUP(AS$63,$BB$63:$BG$98,3)</f>
        <v>#N/A</v>
      </c>
      <c r="AT67" s="283"/>
      <c r="AV67" s="283" t="e">
        <f>VLOOKUP(AV$63,$BB$63:$BG$98,3)</f>
        <v>#N/A</v>
      </c>
      <c r="AW67" s="283"/>
      <c r="BB67" s="283">
        <f>Curva_Nelson!D295</f>
        <v>40</v>
      </c>
      <c r="BC67" s="283"/>
      <c r="BD67" s="283">
        <f>Curva_Nelson!E295</f>
        <v>79</v>
      </c>
      <c r="BE67" s="283"/>
      <c r="BF67" s="283">
        <f>Curva_Nelson!F295</f>
        <v>3.8E-3</v>
      </c>
      <c r="BG67" s="283"/>
      <c r="BK67" s="297">
        <f t="shared" si="46"/>
        <v>0.08</v>
      </c>
      <c r="BL67" s="297"/>
      <c r="BM67" s="298">
        <v>7.0000000000000001E-3</v>
      </c>
      <c r="BN67" s="298"/>
      <c r="BO67" s="297">
        <f t="shared" si="47"/>
        <v>9.0000000000000011E-2</v>
      </c>
      <c r="BP67" s="298"/>
    </row>
    <row r="68" spans="2:68" ht="18" customHeight="1">
      <c r="B68" s="289" t="s">
        <v>651</v>
      </c>
      <c r="G68" s="318">
        <f>IF(G61=0,"",ROUND(G62*$G$67,2))</f>
        <v>12.04</v>
      </c>
      <c r="H68" s="318"/>
      <c r="J68" s="318">
        <f t="shared" ref="J68" si="48">IF(J61=0,"",ROUND(J62*$G$67,2))</f>
        <v>1.2</v>
      </c>
      <c r="K68" s="318"/>
      <c r="L68" s="276" t="str">
        <f t="shared" ref="L68" si="49">IF(L61=0,"",ROUND(L62*$G$67,2))</f>
        <v/>
      </c>
      <c r="M68" s="318">
        <f>IF(M61=0,"",ROUND(M62*$G$67,2))</f>
        <v>24.07</v>
      </c>
      <c r="N68" s="318"/>
      <c r="O68" s="276"/>
      <c r="P68" s="318" t="str">
        <f t="shared" ref="P68" si="50">IF(P61=0,"",ROUND(P62*$G$67,2))</f>
        <v/>
      </c>
      <c r="Q68" s="318"/>
      <c r="R68" s="276" t="str">
        <f t="shared" ref="R68:S68" si="51">IF(R61=0,"",ROUND(R62*$G$67,2))</f>
        <v/>
      </c>
      <c r="S68" s="318" t="str">
        <f t="shared" si="51"/>
        <v/>
      </c>
      <c r="T68" s="318"/>
      <c r="U68" s="276"/>
      <c r="V68" s="318" t="str">
        <f t="shared" ref="V68" si="52">IF(V61=0,"",ROUND(V62*$G$67,2))</f>
        <v/>
      </c>
      <c r="W68" s="318"/>
      <c r="X68" s="109" t="s">
        <v>164</v>
      </c>
      <c r="AF68" s="304" t="s">
        <v>679</v>
      </c>
      <c r="AG68" s="283">
        <f>VLOOKUP(AG$64,$BB$63:$BG$98,3)</f>
        <v>59.5</v>
      </c>
      <c r="AH68" s="283"/>
      <c r="AJ68" s="283">
        <f>VLOOKUP(AJ$64,$BB$63:$BG$98,3)</f>
        <v>75</v>
      </c>
      <c r="AK68" s="283"/>
      <c r="AM68" s="283">
        <f>VLOOKUP(AM$64,$BB$63:$BG$98,3)</f>
        <v>46.5</v>
      </c>
      <c r="AN68" s="283"/>
      <c r="AP68" s="283" t="e">
        <f>VLOOKUP(AP$64,$BB$63:$BG$98,3)</f>
        <v>#VALUE!</v>
      </c>
      <c r="AQ68" s="283"/>
      <c r="AS68" s="283" t="e">
        <f>VLOOKUP(AS$64,$BB$63:$BG$98,3)</f>
        <v>#VALUE!</v>
      </c>
      <c r="AT68" s="283"/>
      <c r="AV68" s="283" t="e">
        <f>VLOOKUP(AV$64,$BB$63:$BG$98,3)</f>
        <v>#VALUE!</v>
      </c>
      <c r="AW68" s="283"/>
      <c r="BB68" s="283">
        <f>Curva_Nelson!D296</f>
        <v>50</v>
      </c>
      <c r="BC68" s="283"/>
      <c r="BD68" s="283">
        <f>Curva_Nelson!E296</f>
        <v>78.5</v>
      </c>
      <c r="BE68" s="283"/>
      <c r="BF68" s="283">
        <f>Curva_Nelson!F296</f>
        <v>4.4999999999999997E-3</v>
      </c>
      <c r="BG68" s="283"/>
      <c r="BK68" s="297">
        <f t="shared" si="46"/>
        <v>0.1</v>
      </c>
      <c r="BL68" s="297"/>
      <c r="BM68" s="298">
        <v>8.9999999999999993E-3</v>
      </c>
      <c r="BN68" s="298"/>
      <c r="BO68" s="297">
        <f t="shared" si="47"/>
        <v>0.11000000000000001</v>
      </c>
      <c r="BP68" s="298"/>
    </row>
    <row r="69" spans="2:68" ht="18" customHeight="1">
      <c r="B69" s="109" t="s">
        <v>226</v>
      </c>
      <c r="G69" s="316">
        <f>IF(G61=0,"",ROUND(G68/$V$38,4))</f>
        <v>1.5100000000000001E-2</v>
      </c>
      <c r="H69" s="316"/>
      <c r="J69" s="316">
        <f t="shared" ref="J69" si="53">IF(J61=0,"",ROUND(J68/$V$38,4))</f>
        <v>1.5E-3</v>
      </c>
      <c r="K69" s="316"/>
      <c r="L69" s="252" t="str">
        <f t="shared" ref="L69" si="54">IF(L61=0,"",ROUND(L68/$V$38,4))</f>
        <v/>
      </c>
      <c r="M69" s="316">
        <f t="shared" ref="M69" si="55">IF(M61=0,"",ROUND(M68/$V$38,4))</f>
        <v>3.0099999999999998E-2</v>
      </c>
      <c r="N69" s="316"/>
      <c r="O69" s="252"/>
      <c r="P69" s="316" t="str">
        <f t="shared" ref="P69" si="56">IF(P61=0,"",ROUND(P68/$V$38,4))</f>
        <v/>
      </c>
      <c r="Q69" s="316"/>
      <c r="R69" s="252" t="str">
        <f t="shared" ref="R69" si="57">IF(R61=0,"",ROUND(R68/$V$38,4))</f>
        <v/>
      </c>
      <c r="S69" s="316" t="str">
        <f t="shared" ref="S69" si="58">IF(S61=0,"",ROUND(S68/$V$38,4))</f>
        <v/>
      </c>
      <c r="T69" s="316"/>
      <c r="U69" s="252"/>
      <c r="V69" s="316" t="str">
        <f t="shared" ref="V69" si="59">IF(V61=0,"",ROUND(V68/$V$38,4))</f>
        <v/>
      </c>
      <c r="W69" s="316"/>
      <c r="AF69" s="303" t="s">
        <v>658</v>
      </c>
      <c r="AG69" s="283">
        <f>AG67+(AG68-AG67)/(AG$64-AG$63)*(AG$65-AG$63)</f>
        <v>59.58</v>
      </c>
      <c r="AH69" s="283"/>
      <c r="AJ69" s="283">
        <f>AJ67+(AJ68-AJ67)/(AJ$64-AJ$63)*(AJ$65-AJ$63)</f>
        <v>77.87</v>
      </c>
      <c r="AK69" s="283"/>
      <c r="AM69" s="283">
        <f>AM67+(AM68-AM67)/(AM$64-AM$63)*(AM$65-AM$63)</f>
        <v>52.988</v>
      </c>
      <c r="AN69" s="283"/>
      <c r="AP69" s="283" t="e">
        <f>AP67+(AP68-AP67)/(AP$64-AP$63)*(AP$65-AP$63)</f>
        <v>#N/A</v>
      </c>
      <c r="AQ69" s="283"/>
      <c r="AS69" s="283" t="e">
        <f>AS67+(AS68-AS67)/(AS$64-AS$63)*(AS$65-AS$63)</f>
        <v>#N/A</v>
      </c>
      <c r="AT69" s="283"/>
      <c r="AV69" s="283" t="e">
        <f>AV67+(AV68-AV67)/(AV$64-AV$63)*(AV$65-AV$63)</f>
        <v>#N/A</v>
      </c>
      <c r="AW69" s="283"/>
      <c r="BB69" s="283">
        <f>Curva_Nelson!D297</f>
        <v>100</v>
      </c>
      <c r="BC69" s="283"/>
      <c r="BD69" s="283">
        <f>Curva_Nelson!E297</f>
        <v>75</v>
      </c>
      <c r="BE69" s="283"/>
      <c r="BF69" s="283">
        <f>Curva_Nelson!F297</f>
        <v>7.2500000000000004E-3</v>
      </c>
      <c r="BG69" s="283"/>
      <c r="BK69" s="297">
        <f t="shared" si="46"/>
        <v>0.12000000000000001</v>
      </c>
      <c r="BL69" s="297"/>
      <c r="BM69" s="298">
        <v>1.2E-2</v>
      </c>
      <c r="BN69" s="298"/>
      <c r="BO69" s="297">
        <f t="shared" si="47"/>
        <v>0.13</v>
      </c>
      <c r="BP69" s="298"/>
    </row>
    <row r="70" spans="2:68" ht="18" customHeight="1">
      <c r="B70" s="289" t="s">
        <v>652</v>
      </c>
      <c r="G70" s="314">
        <f>IF(G61=0,"",ROUND(G69*100000000/(SQRT(2)*PI()*$D$5*$I$49),0))</f>
        <v>596</v>
      </c>
      <c r="H70" s="314"/>
      <c r="J70" s="314">
        <f>IF(J61=0,"",ROUND(J69*100000000/(SQRT(2)*PI()*$D$5*$I$49),0))</f>
        <v>59</v>
      </c>
      <c r="K70" s="314"/>
      <c r="M70" s="314">
        <f>IF(M61=0,"",ROUND(M69*100000000/(SQRT(2)*PI()*$D$5*$I$49),0))</f>
        <v>1189</v>
      </c>
      <c r="N70" s="314"/>
      <c r="P70" s="314" t="str">
        <f>IF(P61=0,"",ROUND(P69*100000000/(SQRT(2)*PI()*$D$5*$I$49),0))</f>
        <v/>
      </c>
      <c r="Q70" s="314"/>
      <c r="S70" s="314" t="str">
        <f>IF(S61=0,"",ROUND(S69*100000000/(SQRT(2)*PI()*$D$5*$I$49),0))</f>
        <v/>
      </c>
      <c r="T70" s="314"/>
      <c r="V70" s="314" t="str">
        <f>IF(V61=0,"",ROUND(V69*100000000/(SQRT(2)*PI()*$D$5*$I$49),0))</f>
        <v/>
      </c>
      <c r="W70" s="314"/>
      <c r="X70" s="252" t="s">
        <v>593</v>
      </c>
      <c r="AF70" s="296"/>
      <c r="AG70" s="275" t="s">
        <v>632</v>
      </c>
      <c r="AH70" s="275"/>
      <c r="AJ70" s="275" t="s">
        <v>632</v>
      </c>
      <c r="AK70" s="275"/>
      <c r="AM70" s="275" t="s">
        <v>632</v>
      </c>
      <c r="AN70" s="275"/>
      <c r="AP70" s="275" t="s">
        <v>632</v>
      </c>
      <c r="AQ70" s="275"/>
      <c r="AS70" s="275" t="s">
        <v>632</v>
      </c>
      <c r="AT70" s="275"/>
      <c r="AV70" s="275" t="s">
        <v>632</v>
      </c>
      <c r="AW70" s="275"/>
      <c r="BB70" s="283">
        <f>Curva_Nelson!D298</f>
        <v>200</v>
      </c>
      <c r="BC70" s="283"/>
      <c r="BD70" s="283">
        <f>Curva_Nelson!E298</f>
        <v>70</v>
      </c>
      <c r="BE70" s="283"/>
      <c r="BF70" s="283">
        <f>Curva_Nelson!F298</f>
        <v>1.2500000000000001E-2</v>
      </c>
      <c r="BG70" s="283"/>
      <c r="BK70" s="297">
        <f t="shared" si="46"/>
        <v>0.14000000000000001</v>
      </c>
      <c r="BL70" s="297"/>
      <c r="BM70" s="298">
        <v>1.6E-2</v>
      </c>
      <c r="BN70" s="298"/>
      <c r="BO70" s="297">
        <f t="shared" si="47"/>
        <v>0.15</v>
      </c>
      <c r="BP70" s="298"/>
    </row>
    <row r="71" spans="2:68" ht="18" customHeight="1">
      <c r="B71" s="289" t="s">
        <v>659</v>
      </c>
      <c r="C71" s="289"/>
      <c r="D71" s="289"/>
      <c r="E71" s="289"/>
      <c r="F71" s="289"/>
      <c r="G71" s="307">
        <f>IF(G62=0,"",ROUND(AG69*IF($D$5=60,1,1),4))</f>
        <v>59.58</v>
      </c>
      <c r="H71" s="307"/>
      <c r="I71" s="289"/>
      <c r="J71" s="307">
        <f>IF(J62=0,"",ROUND(AJ69*IF($D$5=60,1,1),4))</f>
        <v>77.87</v>
      </c>
      <c r="K71" s="307"/>
      <c r="L71" s="289"/>
      <c r="M71" s="307">
        <f>IF(M62=0,"",ROUND(AM69*IF($D$5=60,1,1),4))</f>
        <v>52.988</v>
      </c>
      <c r="N71" s="307"/>
      <c r="O71" s="289"/>
      <c r="P71" s="307" t="str">
        <f>IF(P62=0,"",ROUND(AP69*IF($D$5=60,1,1),4))</f>
        <v/>
      </c>
      <c r="Q71" s="307"/>
      <c r="R71" s="289"/>
      <c r="S71" s="307" t="str">
        <f>IF(S62=0,"",ROUND(AS69*IF($D$5=60,1,1),4))</f>
        <v/>
      </c>
      <c r="T71" s="307"/>
      <c r="U71" s="289"/>
      <c r="V71" s="307" t="str">
        <f>IF(V62=0,"",ROUND(AV69*IF($D$5=60,1,1),4))</f>
        <v/>
      </c>
      <c r="W71" s="307"/>
      <c r="X71" s="289"/>
      <c r="AF71" s="303" t="s">
        <v>680</v>
      </c>
      <c r="AG71" s="283">
        <f>VLOOKUP(AG$63,$BB$63:$BG$98,5)</f>
        <v>2.4500000000000001E-2</v>
      </c>
      <c r="AH71" s="283"/>
      <c r="AJ71" s="283">
        <f>VLOOKUP(AJ$63,$BB$63:$BG$98,5)</f>
        <v>4.4999999999999997E-3</v>
      </c>
      <c r="AK71" s="283"/>
      <c r="AM71" s="283">
        <f>VLOOKUP(AM$63,$BB$63:$BG$98,5)</f>
        <v>4.1000000000000002E-2</v>
      </c>
      <c r="AN71" s="283"/>
      <c r="AP71" s="283" t="e">
        <f>VLOOKUP(AP$63,$BB$63:$BG$98,5)</f>
        <v>#N/A</v>
      </c>
      <c r="AQ71" s="283"/>
      <c r="AS71" s="283" t="e">
        <f>VLOOKUP(AS$63,$BB$63:$BG$98,5)</f>
        <v>#N/A</v>
      </c>
      <c r="AT71" s="283"/>
      <c r="AV71" s="283" t="e">
        <f>VLOOKUP(AV$63,$BB$63:$BG$98,5)</f>
        <v>#N/A</v>
      </c>
      <c r="AW71" s="283"/>
      <c r="BB71" s="283">
        <f>Curva_Nelson!D299</f>
        <v>300</v>
      </c>
      <c r="BC71" s="283"/>
      <c r="BD71" s="283">
        <f>Curva_Nelson!E299</f>
        <v>66.5</v>
      </c>
      <c r="BE71" s="283"/>
      <c r="BF71" s="283">
        <f>Curva_Nelson!F299</f>
        <v>1.7000000000000001E-2</v>
      </c>
      <c r="BG71" s="283"/>
      <c r="BK71" s="297">
        <f t="shared" si="46"/>
        <v>0.16</v>
      </c>
      <c r="BL71" s="297"/>
      <c r="BM71" s="298">
        <v>0.02</v>
      </c>
      <c r="BN71" s="298"/>
      <c r="BO71" s="297">
        <f t="shared" si="47"/>
        <v>0.16999999999999998</v>
      </c>
      <c r="BP71" s="298"/>
    </row>
    <row r="72" spans="2:68" ht="18" customHeight="1">
      <c r="B72" s="289" t="s">
        <v>235</v>
      </c>
      <c r="C72" s="289"/>
      <c r="D72" s="289"/>
      <c r="E72" s="289"/>
      <c r="F72" s="289"/>
      <c r="G72" s="307">
        <f>IF(G62=0,"",ROUND(AG73*IF($D$5=60,1,1),4))</f>
        <v>2.7900000000000001E-2</v>
      </c>
      <c r="H72" s="307"/>
      <c r="I72" s="289"/>
      <c r="J72" s="307">
        <f>IF(J62=0,"",ROUND(AJ73*IF($D$5=60,1,1),4))</f>
        <v>5.0000000000000001E-3</v>
      </c>
      <c r="K72" s="307"/>
      <c r="L72" s="289"/>
      <c r="M72" s="307">
        <f>IF(M62=0,"",ROUND(AM73*IF($D$5=60,1,1),4))</f>
        <v>4.6300000000000001E-2</v>
      </c>
      <c r="N72" s="307"/>
      <c r="O72" s="289"/>
      <c r="P72" s="307" t="str">
        <f>IF(P62=0,"",ROUND(AP73*IF($D$5=60,1,1),4))</f>
        <v/>
      </c>
      <c r="Q72" s="307"/>
      <c r="R72" s="289"/>
      <c r="S72" s="307" t="str">
        <f>IF(S62=0,"",ROUND(AS73*IF($D$5=60,1,1),4))</f>
        <v/>
      </c>
      <c r="T72" s="307"/>
      <c r="U72" s="289"/>
      <c r="V72" s="307" t="str">
        <f>IF(V62=0,"",ROUND(AV73*IF($D$5=60,1,1),4))</f>
        <v/>
      </c>
      <c r="W72" s="307"/>
      <c r="X72" s="289"/>
      <c r="AF72" s="303" t="s">
        <v>681</v>
      </c>
      <c r="AG72" s="283">
        <f>VLOOKUP(AG$64,$BB$63:$BG$98,5)</f>
        <v>2.8000000000000001E-2</v>
      </c>
      <c r="AH72" s="283"/>
      <c r="AJ72" s="283">
        <f>VLOOKUP(AJ$64,$BB$63:$BG$98,5)</f>
        <v>7.2500000000000004E-3</v>
      </c>
      <c r="AK72" s="283"/>
      <c r="AM72" s="283">
        <f>VLOOKUP(AM$64,$BB$63:$BG$98,5)</f>
        <v>6.9000000000000006E-2</v>
      </c>
      <c r="AN72" s="283"/>
      <c r="AP72" s="283" t="e">
        <f>VLOOKUP(AP$64,$BB$63:$BG$98,5)</f>
        <v>#VALUE!</v>
      </c>
      <c r="AQ72" s="283"/>
      <c r="AS72" s="283" t="e">
        <f>VLOOKUP(AS$64,$BB$63:$BG$98,5)</f>
        <v>#VALUE!</v>
      </c>
      <c r="AT72" s="283"/>
      <c r="AV72" s="283" t="e">
        <f>VLOOKUP(AV$64,$BB$63:$BG$98,5)</f>
        <v>#VALUE!</v>
      </c>
      <c r="AW72" s="283"/>
      <c r="BB72" s="283">
        <f>Curva_Nelson!D300</f>
        <v>400</v>
      </c>
      <c r="BC72" s="283"/>
      <c r="BD72" s="283">
        <f>Curva_Nelson!E300</f>
        <v>63.5</v>
      </c>
      <c r="BE72" s="283"/>
      <c r="BF72" s="283">
        <f>Curva_Nelson!F300</f>
        <v>2.1000000000000001E-2</v>
      </c>
      <c r="BG72" s="283"/>
      <c r="BK72" s="297">
        <f t="shared" si="46"/>
        <v>0.18</v>
      </c>
      <c r="BL72" s="297"/>
      <c r="BM72" s="298">
        <v>2.4E-2</v>
      </c>
      <c r="BN72" s="298"/>
      <c r="BO72" s="297">
        <f t="shared" si="47"/>
        <v>0.18999999999999997</v>
      </c>
      <c r="BP72" s="298"/>
    </row>
    <row r="73" spans="2:68" ht="18" customHeight="1">
      <c r="B73" s="289" t="s">
        <v>234</v>
      </c>
      <c r="C73" s="289"/>
      <c r="D73" s="289"/>
      <c r="E73" s="289"/>
      <c r="F73" s="289"/>
      <c r="G73" s="308">
        <f>IF(G62=0,"",ROUND(AG77*IF($D$5=60,1,1),4))*0+G72</f>
        <v>2.7900000000000001E-2</v>
      </c>
      <c r="H73" s="308"/>
      <c r="I73" s="289"/>
      <c r="J73" s="308">
        <f>IF(J62=0,"",ROUND(AJ77*IF($D$5=60,1,1),4))*0+J72</f>
        <v>5.0000000000000001E-3</v>
      </c>
      <c r="K73" s="308"/>
      <c r="L73" s="289"/>
      <c r="M73" s="308">
        <f>IF(M62=0,"",ROUND(AM77*IF($D$5=60,1,1),4))*0+M72</f>
        <v>4.6300000000000001E-2</v>
      </c>
      <c r="N73" s="308"/>
      <c r="O73" s="289"/>
      <c r="P73" s="309" t="str">
        <f>IF(P62=0,"",ROUND(AP77*IF($D$5=60,1,1),4))</f>
        <v/>
      </c>
      <c r="Q73" s="309"/>
      <c r="R73" s="289"/>
      <c r="S73" s="309" t="str">
        <f>IF(S62=0,"",ROUND(AS77*IF($D$5=60,1,1),4))</f>
        <v/>
      </c>
      <c r="T73" s="309"/>
      <c r="U73" s="289"/>
      <c r="V73" s="309" t="str">
        <f>IF(V62=0,"",ROUND(AV77*IF($D$5=60,1,1),4))</f>
        <v/>
      </c>
      <c r="W73" s="309"/>
      <c r="AF73" s="303" t="s">
        <v>632</v>
      </c>
      <c r="AG73" s="283">
        <f>AG71+(AG72-AG71)/(AG$64-AG$63)*(AG$65-AG$63)</f>
        <v>2.7859999999999999E-2</v>
      </c>
      <c r="AH73" s="283"/>
      <c r="AJ73" s="283">
        <f>AJ71+(AJ72-AJ71)/(AJ$64-AJ$63)*(AJ$65-AJ$63)</f>
        <v>4.9949999999999994E-3</v>
      </c>
      <c r="AK73" s="283"/>
      <c r="AM73" s="283">
        <f>AM71+(AM72-AM71)/(AM$64-AM$63)*(AM$65-AM$63)</f>
        <v>4.6292E-2</v>
      </c>
      <c r="AN73" s="283"/>
      <c r="AP73" s="283" t="e">
        <f>AP71+(AP72-AP71)/(AP$64-AP$63)*(AP$65-AP$63)</f>
        <v>#N/A</v>
      </c>
      <c r="AQ73" s="283"/>
      <c r="AS73" s="283" t="e">
        <f>AS71+(AS72-AS71)/(AS$64-AS$63)*(AS$65-AS$63)</f>
        <v>#N/A</v>
      </c>
      <c r="AT73" s="283"/>
      <c r="AV73" s="283" t="e">
        <f>AV71+(AV72-AV71)/(AV$64-AV$63)*(AV$65-AV$63)</f>
        <v>#N/A</v>
      </c>
      <c r="AW73" s="283"/>
      <c r="BB73" s="283">
        <f>Curva_Nelson!D301</f>
        <v>500</v>
      </c>
      <c r="BC73" s="283"/>
      <c r="BD73" s="283">
        <f>Curva_Nelson!E301</f>
        <v>61.5</v>
      </c>
      <c r="BE73" s="283"/>
      <c r="BF73" s="283">
        <f>Curva_Nelson!F301</f>
        <v>2.4500000000000001E-2</v>
      </c>
      <c r="BG73" s="283"/>
      <c r="BK73" s="297">
        <f t="shared" si="46"/>
        <v>0.19999999999999998</v>
      </c>
      <c r="BL73" s="297"/>
      <c r="BM73" s="298">
        <v>2.8000000000000001E-2</v>
      </c>
      <c r="BN73" s="298"/>
      <c r="BO73" s="297">
        <f t="shared" si="47"/>
        <v>0.20999999999999996</v>
      </c>
      <c r="BP73" s="298"/>
    </row>
    <row r="74" spans="2:68" ht="18" customHeight="1">
      <c r="B74" s="289" t="s">
        <v>661</v>
      </c>
      <c r="C74" s="289"/>
      <c r="D74" s="289"/>
      <c r="E74" s="289"/>
      <c r="F74" s="289"/>
      <c r="G74" s="311">
        <f>IF(G62=0,"",ROUND(G72*$I$50/$V$38,4))</f>
        <v>3.7000000000000002E-3</v>
      </c>
      <c r="H74" s="311"/>
      <c r="I74" s="289"/>
      <c r="J74" s="311">
        <f>IF(J62=0,"",ROUND(J72*$I$50/$V$38,4))</f>
        <v>6.9999999999999999E-4</v>
      </c>
      <c r="K74" s="311"/>
      <c r="L74" s="289"/>
      <c r="M74" s="311">
        <f>IF(M62=0,"",ROUND(M72*$I$50/$V$38,4))</f>
        <v>6.1999999999999998E-3</v>
      </c>
      <c r="N74" s="311"/>
      <c r="O74" s="289"/>
      <c r="P74" s="311" t="str">
        <f>IF(P62=0,"",ROUND(P72*$I$50/$V$38,4))</f>
        <v/>
      </c>
      <c r="Q74" s="311"/>
      <c r="R74" s="289"/>
      <c r="S74" s="311" t="str">
        <f>IF(S62=0,"",ROUND(S72*$I$50/$V$38,4))</f>
        <v/>
      </c>
      <c r="T74" s="311"/>
      <c r="U74" s="289"/>
      <c r="V74" s="311" t="str">
        <f>IF(V62=0,"",ROUND(V72*$I$50/$V$38,4))</f>
        <v/>
      </c>
      <c r="W74" s="311"/>
      <c r="X74" s="289" t="s">
        <v>197</v>
      </c>
      <c r="AF74" s="296"/>
      <c r="AG74" s="275" t="s">
        <v>684</v>
      </c>
      <c r="AH74" s="275"/>
      <c r="AI74" s="296"/>
      <c r="AJ74" s="275" t="s">
        <v>684</v>
      </c>
      <c r="AK74" s="275"/>
      <c r="AL74" s="296"/>
      <c r="AM74" s="275" t="s">
        <v>684</v>
      </c>
      <c r="AN74" s="275"/>
      <c r="AO74" s="296"/>
      <c r="AP74" s="275" t="s">
        <v>684</v>
      </c>
      <c r="AQ74" s="275"/>
      <c r="AR74" s="296"/>
      <c r="AS74" s="275" t="s">
        <v>684</v>
      </c>
      <c r="AT74" s="275"/>
      <c r="AU74" s="296"/>
      <c r="AV74" s="275" t="s">
        <v>684</v>
      </c>
      <c r="AW74" s="275"/>
      <c r="BB74" s="283">
        <f>Curva_Nelson!D302</f>
        <v>600</v>
      </c>
      <c r="BC74" s="283"/>
      <c r="BD74" s="283">
        <f>Curva_Nelson!E302</f>
        <v>59.5</v>
      </c>
      <c r="BE74" s="283"/>
      <c r="BF74" s="283">
        <f>Curva_Nelson!F302</f>
        <v>2.8000000000000001E-2</v>
      </c>
      <c r="BG74" s="283"/>
      <c r="BK74" s="297">
        <f t="shared" si="46"/>
        <v>0.21999999999999997</v>
      </c>
      <c r="BL74" s="297"/>
      <c r="BM74" s="298">
        <v>3.4000000000000002E-2</v>
      </c>
      <c r="BN74" s="298"/>
      <c r="BO74" s="297">
        <f t="shared" si="47"/>
        <v>0.22999999999999995</v>
      </c>
      <c r="BP74" s="298"/>
    </row>
    <row r="75" spans="2:68" ht="18" customHeight="1">
      <c r="B75" s="289" t="s">
        <v>662</v>
      </c>
      <c r="C75" s="289"/>
      <c r="D75" s="289"/>
      <c r="E75" s="289"/>
      <c r="F75" s="289"/>
      <c r="G75" s="311">
        <f>IF(G62=0,"",ROUND(G73*$I$51/G68,4))</f>
        <v>1.8100000000000002E-2</v>
      </c>
      <c r="H75" s="311"/>
      <c r="I75" s="289"/>
      <c r="J75" s="311">
        <f>IF(J62=0,"",ROUND(J73*$I$51/J68,4))</f>
        <v>3.2500000000000001E-2</v>
      </c>
      <c r="K75" s="311"/>
      <c r="L75" s="289"/>
      <c r="M75" s="311">
        <f>IF(M62=0,"",ROUND(M73*$I$51/M68,4))</f>
        <v>1.4999999999999999E-2</v>
      </c>
      <c r="N75" s="311"/>
      <c r="O75" s="289"/>
      <c r="P75" s="311" t="str">
        <f>IF(P62=0,"",ROUND(P73*$I$51/P68,4))</f>
        <v/>
      </c>
      <c r="Q75" s="311"/>
      <c r="R75" s="289"/>
      <c r="S75" s="311" t="str">
        <f>IF(S62=0,"",ROUND(S73*$I$51/S68,4))</f>
        <v/>
      </c>
      <c r="T75" s="311"/>
      <c r="U75" s="289"/>
      <c r="V75" s="311" t="str">
        <f>IF(V62=0,"",ROUND(V73*$I$51/V68,4))</f>
        <v/>
      </c>
      <c r="W75" s="311"/>
      <c r="X75" s="289" t="s">
        <v>197</v>
      </c>
      <c r="AF75" s="303" t="s">
        <v>682</v>
      </c>
      <c r="AG75" s="297">
        <f>VLOOKUP(AG$63/10000,$BK$63:$BP$159,1)</f>
        <v>0.04</v>
      </c>
      <c r="AH75" s="297"/>
      <c r="AI75" s="296"/>
      <c r="AJ75" s="297">
        <f>VLOOKUP(AJ$63/10000,$BK$63:$BP$159,1)</f>
        <v>0</v>
      </c>
      <c r="AK75" s="297"/>
      <c r="AL75" s="296"/>
      <c r="AM75" s="297">
        <f>VLOOKUP(AM$63/10000,$BK$63:$BP$159,1)</f>
        <v>0.1</v>
      </c>
      <c r="AN75" s="297"/>
      <c r="AO75" s="296"/>
      <c r="AP75" s="297" t="e">
        <f>VLOOKUP(AP$63/10000,$BK$63:$BP$159,1)</f>
        <v>#N/A</v>
      </c>
      <c r="AQ75" s="297"/>
      <c r="AR75" s="296"/>
      <c r="AS75" s="297" t="e">
        <f>VLOOKUP(AS$63/10000,$BK$63:$BP$159,1)</f>
        <v>#N/A</v>
      </c>
      <c r="AT75" s="297"/>
      <c r="AU75" s="296"/>
      <c r="AV75" s="297" t="e">
        <f>VLOOKUP(AV$63/10000,$BK$63:$BP$159,1)</f>
        <v>#N/A</v>
      </c>
      <c r="AW75" s="297"/>
      <c r="BB75" s="283">
        <f>Curva_Nelson!D303</f>
        <v>700</v>
      </c>
      <c r="BC75" s="283"/>
      <c r="BD75" s="283">
        <f>Curva_Nelson!E303</f>
        <v>58</v>
      </c>
      <c r="BE75" s="283"/>
      <c r="BF75" s="283">
        <f>Curva_Nelson!F303</f>
        <v>3.15E-2</v>
      </c>
      <c r="BG75" s="283"/>
      <c r="BK75" s="297">
        <f t="shared" si="46"/>
        <v>0.23999999999999996</v>
      </c>
      <c r="BL75" s="297"/>
      <c r="BM75" s="298">
        <v>3.9E-2</v>
      </c>
      <c r="BN75" s="298"/>
      <c r="BO75" s="297">
        <f t="shared" si="47"/>
        <v>0.24999999999999994</v>
      </c>
      <c r="BP75" s="298"/>
    </row>
    <row r="76" spans="2:68" ht="18" customHeight="1">
      <c r="B76" s="289" t="s">
        <v>624</v>
      </c>
      <c r="C76" s="289"/>
      <c r="D76" s="289"/>
      <c r="E76" s="289"/>
      <c r="F76" s="289"/>
      <c r="G76" s="354">
        <f>ROUND(G66/G67,3)</f>
        <v>0.94499999999999995</v>
      </c>
      <c r="H76" s="354"/>
      <c r="I76" s="289"/>
      <c r="J76" s="311"/>
      <c r="K76" s="311"/>
      <c r="L76" s="289"/>
      <c r="M76" s="311"/>
      <c r="N76" s="311"/>
      <c r="O76" s="289"/>
      <c r="P76" s="311"/>
      <c r="Q76" s="311"/>
      <c r="R76" s="289"/>
      <c r="S76" s="311"/>
      <c r="T76" s="311"/>
      <c r="U76" s="289"/>
      <c r="V76" s="311"/>
      <c r="W76" s="311"/>
      <c r="X76" s="289"/>
      <c r="AF76" s="303" t="s">
        <v>683</v>
      </c>
      <c r="AG76" s="297">
        <f>VLOOKUP((AG$63/10000+0.02),$BK$63:$BP$159,1)</f>
        <v>0.06</v>
      </c>
      <c r="AH76" s="297"/>
      <c r="AI76" s="296"/>
      <c r="AJ76" s="297">
        <f>VLOOKUP((AJ$63/10000+0.02),$BK$63:$BP$159,1)</f>
        <v>0.02</v>
      </c>
      <c r="AK76" s="297"/>
      <c r="AL76" s="296"/>
      <c r="AM76" s="297">
        <f>VLOOKUP((AM$63/10000+0.02),$BK$63:$BP$159,1)</f>
        <v>0.12000000000000001</v>
      </c>
      <c r="AN76" s="297"/>
      <c r="AO76" s="296"/>
      <c r="AP76" s="297" t="e">
        <f>VLOOKUP((AP$63/10000+0.02),$BK$63:$BP$159,1)</f>
        <v>#N/A</v>
      </c>
      <c r="AQ76" s="297"/>
      <c r="AR76" s="296"/>
      <c r="AS76" s="297" t="e">
        <f>VLOOKUP((AS$63/10000+0.02),$BK$63:$BP$159,1)</f>
        <v>#N/A</v>
      </c>
      <c r="AT76" s="297"/>
      <c r="AU76" s="296"/>
      <c r="AV76" s="297" t="e">
        <f>VLOOKUP((AV$63/10000+0.02),$BK$63:$BP$159,1)</f>
        <v>#N/A</v>
      </c>
      <c r="AW76" s="297"/>
      <c r="BB76" s="283">
        <f>Curva_Nelson!D304</f>
        <v>800</v>
      </c>
      <c r="BC76" s="283"/>
      <c r="BD76" s="283">
        <f>Curva_Nelson!E304</f>
        <v>57</v>
      </c>
      <c r="BE76" s="283"/>
      <c r="BF76" s="283">
        <f>Curva_Nelson!F304</f>
        <v>3.5000000000000003E-2</v>
      </c>
      <c r="BG76" s="283"/>
      <c r="BK76" s="297">
        <f t="shared" si="46"/>
        <v>0.25999999999999995</v>
      </c>
      <c r="BL76" s="297"/>
      <c r="BM76" s="298">
        <v>4.4999999999999998E-2</v>
      </c>
      <c r="BN76" s="298"/>
      <c r="BO76" s="297">
        <f t="shared" si="47"/>
        <v>0.26999999999999996</v>
      </c>
      <c r="BP76" s="298"/>
    </row>
    <row r="77" spans="2:68" ht="18" customHeight="1">
      <c r="B77" s="289" t="s">
        <v>671</v>
      </c>
      <c r="C77" s="289"/>
      <c r="D77" s="311">
        <f>ROUND(DEGREES(ACOS(G76)),2)</f>
        <v>19.09</v>
      </c>
      <c r="E77" s="311"/>
      <c r="F77" s="289" t="s">
        <v>670</v>
      </c>
      <c r="G77" s="311">
        <f>ROUND(G63*SIN(ACOS(X9))/G67,3)</f>
        <v>0.32600000000000001</v>
      </c>
      <c r="H77" s="311"/>
      <c r="I77" s="289"/>
      <c r="L77" s="289"/>
      <c r="M77" s="311"/>
      <c r="N77" s="311"/>
      <c r="O77" s="289"/>
      <c r="P77" s="311"/>
      <c r="Q77" s="311"/>
      <c r="R77" s="289"/>
      <c r="S77" s="311"/>
      <c r="T77" s="311"/>
      <c r="U77" s="289"/>
      <c r="V77" s="311"/>
      <c r="W77" s="311"/>
      <c r="X77" s="289"/>
      <c r="AF77" s="303" t="s">
        <v>684</v>
      </c>
      <c r="AG77" s="283">
        <f>AG75+(AG76-AG75)/(AG$64-AG$63)*(AG$65-AG$63)</f>
        <v>5.9200000000000003E-2</v>
      </c>
      <c r="AH77" s="283"/>
      <c r="AI77" s="296"/>
      <c r="AJ77" s="283">
        <f>AJ75+(AJ76-AJ75)/(AJ$64-AJ$63)*(AJ$65-AJ$63)</f>
        <v>3.6000000000000003E-3</v>
      </c>
      <c r="AK77" s="283"/>
      <c r="AL77" s="296"/>
      <c r="AM77" s="283">
        <f>AM75+(AM76-AM75)/(AM$64-AM$63)*(AM$65-AM$63)</f>
        <v>0.10378000000000001</v>
      </c>
      <c r="AN77" s="283"/>
      <c r="AO77" s="296"/>
      <c r="AP77" s="283" t="e">
        <f>AP75+(AP76-AP75)/(AP$64-AP$63)*(AP$65-AP$63)</f>
        <v>#N/A</v>
      </c>
      <c r="AQ77" s="283"/>
      <c r="AR77" s="296"/>
      <c r="AS77" s="283" t="e">
        <f>AS75+(AS76-AS75)/(AS$64-AS$63)*(AS$65-AS$63)</f>
        <v>#N/A</v>
      </c>
      <c r="AT77" s="283"/>
      <c r="AU77" s="296"/>
      <c r="AV77" s="283" t="e">
        <f>AV75+(AV76-AV75)/(AV$64-AV$63)*(AV$65-AV$63)</f>
        <v>#N/A</v>
      </c>
      <c r="AW77" s="283"/>
      <c r="BB77" s="283">
        <f>Curva_Nelson!D305</f>
        <v>900</v>
      </c>
      <c r="BC77" s="283"/>
      <c r="BD77" s="283">
        <f>Curva_Nelson!E305</f>
        <v>56</v>
      </c>
      <c r="BE77" s="283"/>
      <c r="BF77" s="283">
        <f>Curva_Nelson!F305</f>
        <v>3.7999999999999999E-2</v>
      </c>
      <c r="BG77" s="283"/>
      <c r="BK77" s="297">
        <f t="shared" si="46"/>
        <v>0.27999999999999997</v>
      </c>
      <c r="BL77" s="297"/>
      <c r="BM77" s="298">
        <v>5.1999999999999998E-2</v>
      </c>
      <c r="BN77" s="298"/>
      <c r="BO77" s="297">
        <f t="shared" si="47"/>
        <v>0.28999999999999998</v>
      </c>
      <c r="BP77" s="298"/>
    </row>
    <row r="78" spans="2:68" ht="18" customHeight="1">
      <c r="B78" s="289" t="s">
        <v>236</v>
      </c>
      <c r="C78" s="289"/>
      <c r="D78" s="289"/>
      <c r="E78" s="289"/>
      <c r="F78" s="289"/>
      <c r="G78" s="311">
        <f>IF(X7=0,0,ROUND((D7/G7-V38)/V38*100,4))</f>
        <v>0</v>
      </c>
      <c r="H78" s="311"/>
      <c r="I78" s="289"/>
      <c r="L78" s="289"/>
      <c r="M78" s="311"/>
      <c r="N78" s="311"/>
      <c r="O78" s="289"/>
      <c r="P78" s="311"/>
      <c r="Q78" s="311"/>
      <c r="R78" s="289"/>
      <c r="S78" s="311"/>
      <c r="T78" s="311"/>
      <c r="U78" s="289"/>
      <c r="V78" s="311"/>
      <c r="W78" s="311"/>
      <c r="X78" s="289" t="s">
        <v>31</v>
      </c>
      <c r="BB78" s="283">
        <f>Curva_Nelson!D306</f>
        <v>1000</v>
      </c>
      <c r="BC78" s="283"/>
      <c r="BD78" s="283">
        <f>Curva_Nelson!E306</f>
        <v>54.5</v>
      </c>
      <c r="BE78" s="283"/>
      <c r="BF78" s="283">
        <f>Curva_Nelson!F306</f>
        <v>4.1000000000000002E-2</v>
      </c>
      <c r="BG78" s="283"/>
      <c r="BK78" s="297">
        <f t="shared" si="46"/>
        <v>0.3</v>
      </c>
      <c r="BL78" s="297"/>
      <c r="BM78" s="298">
        <v>0.06</v>
      </c>
      <c r="BN78" s="298"/>
      <c r="BO78" s="297">
        <f t="shared" si="47"/>
        <v>0.31</v>
      </c>
      <c r="BP78" s="298"/>
    </row>
    <row r="79" spans="2:68" ht="18" customHeight="1">
      <c r="B79" s="289" t="s">
        <v>665</v>
      </c>
      <c r="C79" s="289"/>
      <c r="D79" s="289"/>
      <c r="E79" s="289"/>
      <c r="F79" s="289"/>
      <c r="G79" s="311">
        <f>IF(G62=0,"",ROUND((-100/G62)*(G74*$G$77+G75*$G$76)+$G$78,4))</f>
        <v>-0.36620000000000003</v>
      </c>
      <c r="H79" s="311"/>
      <c r="I79" s="289"/>
      <c r="J79" s="311">
        <f>IF(J62=0,"",ROUND((-100/$V$38)*(J74*$G$77+J75*$G$76)+$G$78,4))</f>
        <v>-3.8999999999999998E-3</v>
      </c>
      <c r="K79" s="311"/>
      <c r="L79" s="289"/>
      <c r="M79" s="311">
        <f>IF(M62=0,"",ROUND((-100/$V$38)*(M74*$G$77+M75*$G$76)+$G$78,4))</f>
        <v>-2E-3</v>
      </c>
      <c r="N79" s="311"/>
      <c r="O79" s="289"/>
      <c r="P79" s="311" t="str">
        <f>IF(P62=0,"",ROUND((-100/$V$38)*(P74*$G$77+P75*$G$76)+$G$78,4))</f>
        <v/>
      </c>
      <c r="Q79" s="311"/>
      <c r="R79" s="289"/>
      <c r="S79" s="311" t="str">
        <f>IF(S62=0,"",ROUND((-100/$V$38)*(S74*$G$77+S75*$G$76)+$G$78,4))</f>
        <v/>
      </c>
      <c r="T79" s="311"/>
      <c r="U79" s="289"/>
      <c r="V79" s="311" t="str">
        <f>IF(V62=0,"",ROUND((-100/$V$38)*(V74*$G$77+V75*$G$76)+$G$78,4))</f>
        <v/>
      </c>
      <c r="W79" s="311"/>
      <c r="X79" s="289" t="s">
        <v>31</v>
      </c>
      <c r="Y79" s="252"/>
      <c r="AG79" s="305" t="s">
        <v>686</v>
      </c>
      <c r="AH79" s="306"/>
      <c r="AI79" s="306"/>
      <c r="AJ79" s="306"/>
      <c r="AK79" s="306"/>
      <c r="AL79" s="306"/>
      <c r="AM79" s="306"/>
      <c r="AN79" s="306"/>
      <c r="AO79" s="306"/>
      <c r="AP79" s="306"/>
      <c r="AQ79" s="306"/>
      <c r="AR79" s="306"/>
      <c r="AS79" s="306"/>
      <c r="AT79" s="306"/>
      <c r="AU79" s="306"/>
      <c r="AV79" s="306"/>
      <c r="AW79" s="306"/>
      <c r="BB79" s="283">
        <f>Curva_Nelson!D307</f>
        <v>2000</v>
      </c>
      <c r="BC79" s="283"/>
      <c r="BD79" s="283">
        <f>Curva_Nelson!E307</f>
        <v>46.5</v>
      </c>
      <c r="BE79" s="283"/>
      <c r="BF79" s="283">
        <f>Curva_Nelson!F307</f>
        <v>6.9000000000000006E-2</v>
      </c>
      <c r="BG79" s="283"/>
      <c r="BK79" s="297">
        <f t="shared" si="46"/>
        <v>0.32</v>
      </c>
      <c r="BL79" s="297"/>
      <c r="BM79" s="298">
        <v>6.8000000000000005E-2</v>
      </c>
      <c r="BN79" s="298"/>
      <c r="BO79" s="297">
        <f t="shared" si="47"/>
        <v>0.33</v>
      </c>
      <c r="BP79" s="298"/>
    </row>
    <row r="80" spans="2:68" ht="18" customHeight="1">
      <c r="B80" s="289" t="s">
        <v>664</v>
      </c>
      <c r="C80" s="289"/>
      <c r="D80" s="289"/>
      <c r="E80" s="289"/>
      <c r="F80" s="289"/>
      <c r="G80" s="311">
        <f>IF(G62=0,"",VLOOKUP($AA$59,'Classes por Norma'!$A$229:$K$238,6))</f>
        <v>0.3</v>
      </c>
      <c r="H80" s="311"/>
      <c r="I80" s="289"/>
      <c r="J80" s="311">
        <f>IF(J62=0,"",VLOOKUP($AA$59,'Classes por Norma'!$A$229:$K$238,7))</f>
        <v>0.6</v>
      </c>
      <c r="K80" s="311"/>
      <c r="L80" s="289"/>
      <c r="M80" s="311">
        <f>IF(M62=0,"",VLOOKUP($AA$59,'Classes por Norma'!$A$229:$K$238,8))</f>
        <v>0.3</v>
      </c>
      <c r="N80" s="311"/>
      <c r="O80" s="289"/>
      <c r="P80" s="311" t="str">
        <f>IF(P62=0,"",VLOOKUP($AA$59,'Classes por Norma'!$A$229:$K$238,9))</f>
        <v/>
      </c>
      <c r="Q80" s="311"/>
      <c r="R80" s="289"/>
      <c r="S80" s="311" t="str">
        <f>IF(S62=0,"",VLOOKUP($AA$59,'Classes por Norma'!$A$229:$K$238,10))</f>
        <v/>
      </c>
      <c r="T80" s="311"/>
      <c r="U80" s="289"/>
      <c r="V80" s="311" t="str">
        <f>IF(V62=0,"",VLOOKUP($AA$59,'Classes por Norma'!$A$229:$K$238,11))</f>
        <v/>
      </c>
      <c r="W80" s="311"/>
      <c r="X80" s="289"/>
      <c r="BB80" s="283">
        <f>Curva_Nelson!D308</f>
        <v>3000</v>
      </c>
      <c r="BC80" s="283"/>
      <c r="BD80" s="283">
        <f>Curva_Nelson!E308</f>
        <v>41.5</v>
      </c>
      <c r="BE80" s="283"/>
      <c r="BF80" s="283">
        <f>Curva_Nelson!F308</f>
        <v>9.1999999999999998E-2</v>
      </c>
      <c r="BG80" s="283"/>
      <c r="BK80" s="297">
        <f t="shared" si="46"/>
        <v>0.34</v>
      </c>
      <c r="BL80" s="297"/>
      <c r="BM80" s="298">
        <v>7.6999999999999999E-2</v>
      </c>
      <c r="BN80" s="298"/>
      <c r="BO80" s="297">
        <f t="shared" si="47"/>
        <v>0.35000000000000003</v>
      </c>
      <c r="BP80" s="298"/>
    </row>
    <row r="81" spans="2:118" ht="18" customHeight="1">
      <c r="B81" s="289" t="s">
        <v>237</v>
      </c>
      <c r="C81" s="289"/>
      <c r="D81" s="289"/>
      <c r="E81" s="289"/>
      <c r="F81" s="289"/>
      <c r="G81" s="310">
        <f>IF(G62=0,"",ROUND(100/(100+G79),4))</f>
        <v>1.0037</v>
      </c>
      <c r="H81" s="310"/>
      <c r="I81" s="289"/>
      <c r="J81" s="310">
        <f>IF(J62=0,"",ROUND(100/(100+J79),4))</f>
        <v>1</v>
      </c>
      <c r="K81" s="310"/>
      <c r="L81" s="289"/>
      <c r="M81" s="310">
        <f>IF(M62=0,"",ROUND(100/(100+M79),4))</f>
        <v>1</v>
      </c>
      <c r="N81" s="310"/>
      <c r="O81" s="289"/>
      <c r="P81" s="310" t="str">
        <f>IF(P62=0,"",ROUND(100/(100+P79),4))</f>
        <v/>
      </c>
      <c r="Q81" s="310"/>
      <c r="R81" s="289"/>
      <c r="S81" s="310" t="str">
        <f>IF(S62=0,"",ROUND(100/(100+S79),4))</f>
        <v/>
      </c>
      <c r="T81" s="310"/>
      <c r="U81" s="289"/>
      <c r="V81" s="310" t="str">
        <f>IF(V62=0,"",ROUND(100/(100+V79),4))</f>
        <v/>
      </c>
      <c r="W81" s="310"/>
      <c r="X81" s="294" t="s">
        <v>225</v>
      </c>
      <c r="BB81" s="283">
        <f>Curva_Nelson!D309</f>
        <v>4000</v>
      </c>
      <c r="BC81" s="283"/>
      <c r="BD81" s="283">
        <f>Curva_Nelson!E309</f>
        <v>36.5</v>
      </c>
      <c r="BE81" s="283"/>
      <c r="BF81" s="283">
        <f>Curva_Nelson!F309</f>
        <v>0.115</v>
      </c>
      <c r="BG81" s="283"/>
      <c r="BK81" s="297">
        <f t="shared" si="46"/>
        <v>0.36000000000000004</v>
      </c>
      <c r="BL81" s="297"/>
      <c r="BM81" s="298">
        <v>8.5999999999999993E-2</v>
      </c>
      <c r="BN81" s="298"/>
      <c r="BO81" s="297">
        <f t="shared" si="47"/>
        <v>0.37000000000000005</v>
      </c>
      <c r="BP81" s="298"/>
    </row>
    <row r="82" spans="2:118" ht="18" customHeight="1">
      <c r="B82" s="289" t="s">
        <v>663</v>
      </c>
      <c r="C82" s="289"/>
      <c r="D82" s="289"/>
      <c r="E82" s="289"/>
      <c r="F82" s="289"/>
      <c r="G82" s="311">
        <f>IF(G62=0,"",ROUND(3438/G62*(G74*$G$76-G75*$G$77),2))</f>
        <v>-1.65</v>
      </c>
      <c r="H82" s="311"/>
      <c r="I82" s="289"/>
      <c r="J82" s="311">
        <f>IF(J62=0,"",ROUND(3438/J62*(J74*$G$76-J75*$G$77),2))</f>
        <v>-68.3</v>
      </c>
      <c r="K82" s="311"/>
      <c r="L82" s="289"/>
      <c r="M82" s="311">
        <f>IF(M62=0,"",ROUND(3438/M62*(M74*$G$76-M75*$G$77),2))</f>
        <v>0.33</v>
      </c>
      <c r="N82" s="311"/>
      <c r="O82" s="289"/>
      <c r="P82" s="311" t="str">
        <f>IF(P62=0,"",ROUND(3438/P62*(P74*$G$76-P75*$G$77),2))</f>
        <v/>
      </c>
      <c r="Q82" s="311"/>
      <c r="R82" s="289"/>
      <c r="S82" s="311" t="str">
        <f>IF(S62=0,"",ROUND(3438/S62*(S74*$G$76-S75*$G$77),2))</f>
        <v/>
      </c>
      <c r="T82" s="311"/>
      <c r="U82" s="289"/>
      <c r="V82" s="311" t="str">
        <f>IF(V62=0,"",ROUND(3438/V62*(V74*$G$76-V75*$G$77),2))</f>
        <v/>
      </c>
      <c r="W82" s="311"/>
      <c r="X82" s="289" t="s">
        <v>592</v>
      </c>
      <c r="BB82" s="283">
        <f>Curva_Nelson!D310</f>
        <v>5000</v>
      </c>
      <c r="BC82" s="283"/>
      <c r="BD82" s="283">
        <f>Curva_Nelson!E310</f>
        <v>34.5</v>
      </c>
      <c r="BE82" s="283"/>
      <c r="BF82" s="283">
        <f>Curva_Nelson!F310</f>
        <v>0.13500000000000001</v>
      </c>
      <c r="BG82" s="283"/>
      <c r="BK82" s="297">
        <f t="shared" si="46"/>
        <v>0.38000000000000006</v>
      </c>
      <c r="BL82" s="297"/>
      <c r="BM82" s="298">
        <v>9.5000000000000001E-2</v>
      </c>
      <c r="BN82" s="298"/>
      <c r="BO82" s="297">
        <f t="shared" si="47"/>
        <v>0.39000000000000007</v>
      </c>
      <c r="BP82" s="298"/>
    </row>
    <row r="83" spans="2:118" ht="18" customHeight="1">
      <c r="B83" s="289" t="s">
        <v>594</v>
      </c>
      <c r="C83" s="289"/>
      <c r="D83" s="289"/>
      <c r="E83" s="289"/>
      <c r="F83" s="289"/>
      <c r="G83" s="311">
        <f>IF(G62=0,"",VLOOKUP($AA$59,'Classes por Norma'!$A$241:$K$250,6))</f>
        <v>15</v>
      </c>
      <c r="H83" s="311"/>
      <c r="I83" s="289"/>
      <c r="J83" s="311">
        <f>IF(J62=0,"",VLOOKUP($AA$59,'Classes por Norma'!$A$241:$K$250,7))</f>
        <v>30</v>
      </c>
      <c r="K83" s="311"/>
      <c r="L83" s="289"/>
      <c r="M83" s="311">
        <f>IF(M62=0,"",VLOOKUP($AA$59,'Classes por Norma'!$A$241:$K$250,8))</f>
        <v>15</v>
      </c>
      <c r="N83" s="311"/>
      <c r="O83" s="289"/>
      <c r="P83" s="311" t="str">
        <f>IF(P62=0,"",VLOOKUP($AA$59,'Classes por Norma'!$A$241:$K$250,9))</f>
        <v/>
      </c>
      <c r="Q83" s="311"/>
      <c r="R83" s="289"/>
      <c r="S83" s="311" t="str">
        <f>IF(S62=0,"",VLOOKUP($AA$59,'Classes por Norma'!$A$241:$K$250,10))</f>
        <v/>
      </c>
      <c r="T83" s="311"/>
      <c r="U83" s="289"/>
      <c r="V83" s="311" t="str">
        <f>IF(V62=0,"",VLOOKUP($AA$59,'Classes por Norma'!$A$241:$K$250,11))</f>
        <v/>
      </c>
      <c r="W83" s="311"/>
      <c r="X83" s="289" t="s">
        <v>592</v>
      </c>
      <c r="BB83" s="283">
        <f>Curva_Nelson!D311</f>
        <v>6000</v>
      </c>
      <c r="BC83" s="283"/>
      <c r="BD83" s="283">
        <f>Curva_Nelson!E311</f>
        <v>32.5</v>
      </c>
      <c r="BE83" s="283"/>
      <c r="BF83" s="283">
        <f>Curva_Nelson!F311</f>
        <v>0.152</v>
      </c>
      <c r="BG83" s="283"/>
      <c r="BK83" s="297">
        <f t="shared" si="46"/>
        <v>0.40000000000000008</v>
      </c>
      <c r="BL83" s="297"/>
      <c r="BM83" s="298">
        <v>0.104</v>
      </c>
      <c r="BN83" s="298"/>
      <c r="BO83" s="297">
        <f t="shared" si="47"/>
        <v>0.41000000000000009</v>
      </c>
      <c r="BP83" s="298"/>
    </row>
    <row r="84" spans="2:118" ht="18" customHeight="1">
      <c r="B84" s="289" t="s">
        <v>666</v>
      </c>
      <c r="C84" s="289"/>
      <c r="D84" s="289"/>
      <c r="E84" s="289"/>
      <c r="F84" s="289"/>
      <c r="G84" s="311" t="str">
        <f>IF(G62=0,"",IF(AND(ABS(G79)&lt;G80,ABS(G82)&lt;G83),"OK","FORA"))</f>
        <v>FORA</v>
      </c>
      <c r="H84" s="311"/>
      <c r="I84" s="289"/>
      <c r="J84" s="311" t="str">
        <f>IF(J62=0,"",IF(AND(ABS(J79)&lt;J80,ABS(J82)&lt;J83),"OK","FORA"))</f>
        <v>FORA</v>
      </c>
      <c r="K84" s="311"/>
      <c r="L84" s="289"/>
      <c r="M84" s="311" t="str">
        <f>IF(M62=0,"",IF(AND(ABS(M79)&lt;M80,ABS(M82)&lt;M83),"OK","FORA"))</f>
        <v>OK</v>
      </c>
      <c r="N84" s="311"/>
      <c r="O84" s="289"/>
      <c r="P84" s="311" t="str">
        <f>IF(P62=0,"",IF(AND(ABS(P79)&lt;P80,ABS(P82)&lt;P83),"OK","FORA"))</f>
        <v/>
      </c>
      <c r="Q84" s="311"/>
      <c r="R84" s="289"/>
      <c r="S84" s="311" t="str">
        <f>IF(S62=0,"",IF(AND(ABS(S79)&lt;S80,ABS(S82)&lt;S83),"OK","FORA"))</f>
        <v/>
      </c>
      <c r="T84" s="311"/>
      <c r="U84" s="289"/>
      <c r="V84" s="311" t="str">
        <f>IF(V62=0,"",IF(AND(ABS(V79)&lt;V80,ABS(V82)&lt;V83),"OK","FORA"))</f>
        <v/>
      </c>
      <c r="W84" s="311"/>
      <c r="X84" s="289"/>
      <c r="Y84" s="252"/>
      <c r="AB84" s="248" t="s">
        <v>615</v>
      </c>
      <c r="AC84" s="109">
        <f>SUM(G85:W85)</f>
        <v>2</v>
      </c>
      <c r="BB84" s="283">
        <f>Curva_Nelson!D312</f>
        <v>7000</v>
      </c>
      <c r="BC84" s="283"/>
      <c r="BD84" s="283">
        <f>Curva_Nelson!E312</f>
        <v>31.5</v>
      </c>
      <c r="BE84" s="283"/>
      <c r="BF84" s="283">
        <f>Curva_Nelson!F312</f>
        <v>0.17</v>
      </c>
      <c r="BG84" s="283"/>
      <c r="BK84" s="297">
        <f t="shared" si="46"/>
        <v>0.4200000000000001</v>
      </c>
      <c r="BL84" s="297"/>
      <c r="BM84" s="298">
        <v>0.113</v>
      </c>
      <c r="BN84" s="298"/>
      <c r="BO84" s="297">
        <f t="shared" ref="BO84:BO99" si="60">BO83+0.03</f>
        <v>0.44000000000000006</v>
      </c>
      <c r="BP84" s="298"/>
    </row>
    <row r="85" spans="2:118" ht="18" customHeight="1">
      <c r="B85" s="289"/>
      <c r="C85" s="289"/>
      <c r="D85" s="289"/>
      <c r="E85" s="289"/>
      <c r="F85" s="289"/>
      <c r="G85" s="312">
        <f>IF(G84="FORA",1,0)</f>
        <v>1</v>
      </c>
      <c r="H85" s="312"/>
      <c r="I85" s="295"/>
      <c r="J85" s="312">
        <f>IF(J84="FORA",1,0)</f>
        <v>1</v>
      </c>
      <c r="K85" s="312"/>
      <c r="L85" s="295"/>
      <c r="M85" s="312">
        <f>IF(M84="FORA",1,0)</f>
        <v>0</v>
      </c>
      <c r="N85" s="312"/>
      <c r="O85" s="295"/>
      <c r="P85" s="312">
        <f>IF(P84="FORA",1,0)</f>
        <v>0</v>
      </c>
      <c r="Q85" s="312"/>
      <c r="R85" s="295"/>
      <c r="S85" s="312">
        <f>IF(S84="FORA",1,0)</f>
        <v>0</v>
      </c>
      <c r="T85" s="312"/>
      <c r="U85" s="295"/>
      <c r="V85" s="312">
        <f>IF(V84="FORA",1,0)</f>
        <v>0</v>
      </c>
      <c r="W85" s="312"/>
      <c r="X85" s="289"/>
      <c r="AB85" s="289" t="s">
        <v>667</v>
      </c>
      <c r="AJ85" s="311">
        <f>ROUND((-100/G62)*(G74*COS(RADIANS(G71-D77))+$G$78),4)</f>
        <v>-5.6300000000000003E-2</v>
      </c>
      <c r="AK85" s="311"/>
      <c r="AL85" s="289" t="s">
        <v>31</v>
      </c>
      <c r="BB85" s="283">
        <f>Curva_Nelson!D313</f>
        <v>8000</v>
      </c>
      <c r="BC85" s="283"/>
      <c r="BD85" s="283">
        <f>Curva_Nelson!E313</f>
        <v>30.5</v>
      </c>
      <c r="BE85" s="283"/>
      <c r="BF85" s="283">
        <f>Curva_Nelson!F313</f>
        <v>0.19</v>
      </c>
      <c r="BG85" s="283"/>
      <c r="BK85" s="297">
        <f t="shared" si="46"/>
        <v>0.44000000000000011</v>
      </c>
      <c r="BL85" s="297"/>
      <c r="BM85" s="298">
        <v>0.123</v>
      </c>
      <c r="BN85" s="298"/>
      <c r="BO85" s="297">
        <f t="shared" si="60"/>
        <v>0.47000000000000008</v>
      </c>
      <c r="BP85" s="298"/>
    </row>
    <row r="86" spans="2:118" ht="18" customHeight="1">
      <c r="B86" s="91" t="s">
        <v>34</v>
      </c>
      <c r="C86" s="88"/>
      <c r="G86" s="348" t="s">
        <v>38</v>
      </c>
      <c r="H86" s="349"/>
      <c r="I86" s="349"/>
      <c r="J86" s="350"/>
      <c r="N86" s="93" t="s">
        <v>33</v>
      </c>
      <c r="AB86" s="289" t="s">
        <v>668</v>
      </c>
      <c r="AJ86" s="311">
        <f>ROUND((3438/G62)*(G74*SIN(RADIANS(G71-D77))),4)</f>
        <v>1.6518999999999999</v>
      </c>
      <c r="AK86" s="311"/>
      <c r="AL86" s="289" t="s">
        <v>669</v>
      </c>
      <c r="BB86" s="283">
        <f>Curva_Nelson!D314</f>
        <v>9000</v>
      </c>
      <c r="BC86" s="283"/>
      <c r="BD86" s="283">
        <f>Curva_Nelson!E314</f>
        <v>30</v>
      </c>
      <c r="BE86" s="283"/>
      <c r="BF86" s="283">
        <f>Curva_Nelson!F314</f>
        <v>0.21</v>
      </c>
      <c r="BG86" s="283"/>
      <c r="BK86" s="297">
        <f t="shared" si="46"/>
        <v>0.46000000000000013</v>
      </c>
      <c r="BL86" s="297"/>
      <c r="BM86" s="298">
        <v>0.13200000000000001</v>
      </c>
      <c r="BN86" s="298"/>
      <c r="BO86" s="297">
        <f t="shared" si="60"/>
        <v>0.50000000000000011</v>
      </c>
      <c r="BP86" s="298"/>
    </row>
    <row r="87" spans="2:118" ht="18" customHeight="1">
      <c r="B87" s="97" t="s">
        <v>230</v>
      </c>
      <c r="C87" s="88"/>
      <c r="D87" s="88"/>
      <c r="G87" s="351" t="s">
        <v>231</v>
      </c>
      <c r="H87" s="352"/>
      <c r="I87" s="352"/>
      <c r="J87" s="353"/>
      <c r="N87" s="148" t="s">
        <v>621</v>
      </c>
      <c r="BB87" s="283">
        <f>Curva_Nelson!D315</f>
        <v>10000</v>
      </c>
      <c r="BC87" s="283"/>
      <c r="BD87" s="283">
        <f>Curva_Nelson!E315</f>
        <v>30.5</v>
      </c>
      <c r="BE87" s="283"/>
      <c r="BF87" s="283">
        <f>Curva_Nelson!F315</f>
        <v>0.22500000000000001</v>
      </c>
      <c r="BG87" s="283"/>
      <c r="BK87" s="297">
        <f t="shared" si="46"/>
        <v>0.48000000000000015</v>
      </c>
      <c r="BL87" s="297"/>
      <c r="BM87" s="298">
        <v>0.14199999999999999</v>
      </c>
      <c r="BN87" s="298"/>
      <c r="BO87" s="297">
        <f t="shared" si="60"/>
        <v>0.53000000000000014</v>
      </c>
      <c r="BP87" s="298"/>
    </row>
    <row r="88" spans="2:118" ht="18" customHeight="1">
      <c r="B88" s="91" t="s">
        <v>35</v>
      </c>
      <c r="C88" s="88"/>
      <c r="D88" s="88"/>
      <c r="G88" s="348" t="s">
        <v>232</v>
      </c>
      <c r="H88" s="349"/>
      <c r="I88" s="349"/>
      <c r="J88" s="350"/>
      <c r="N88" s="148" t="s">
        <v>685</v>
      </c>
      <c r="BB88" s="283">
        <f>Curva_Nelson!D316</f>
        <v>11000</v>
      </c>
      <c r="BC88" s="283"/>
      <c r="BD88" s="283">
        <f>Curva_Nelson!E316</f>
        <v>32</v>
      </c>
      <c r="BE88" s="283"/>
      <c r="BF88" s="283">
        <f>Curva_Nelson!F316</f>
        <v>0.25</v>
      </c>
      <c r="BG88" s="283"/>
      <c r="BK88" s="297">
        <f t="shared" si="46"/>
        <v>0.50000000000000011</v>
      </c>
      <c r="BL88" s="297"/>
      <c r="BM88" s="298">
        <v>0.152</v>
      </c>
      <c r="BN88" s="298"/>
      <c r="BO88" s="297">
        <f t="shared" si="60"/>
        <v>0.56000000000000016</v>
      </c>
      <c r="BP88" s="298"/>
    </row>
    <row r="89" spans="2:118" ht="18" customHeight="1">
      <c r="B89" s="91" t="s">
        <v>36</v>
      </c>
      <c r="C89" s="88"/>
      <c r="D89" s="88"/>
      <c r="G89" s="348" t="s">
        <v>233</v>
      </c>
      <c r="H89" s="349"/>
      <c r="I89" s="349"/>
      <c r="J89" s="350"/>
      <c r="N89" s="148" t="s">
        <v>622</v>
      </c>
      <c r="BB89" s="283">
        <f>Curva_Nelson!D317</f>
        <v>12000</v>
      </c>
      <c r="BC89" s="283"/>
      <c r="BD89" s="283">
        <f>Curva_Nelson!E317</f>
        <v>33</v>
      </c>
      <c r="BE89" s="283"/>
      <c r="BF89" s="283">
        <f>Curva_Nelson!F317</f>
        <v>0.27</v>
      </c>
      <c r="BG89" s="283"/>
      <c r="BK89" s="297">
        <f t="shared" si="46"/>
        <v>0.52000000000000013</v>
      </c>
      <c r="BL89" s="297"/>
      <c r="BM89" s="298">
        <v>0.16200000000000001</v>
      </c>
      <c r="BN89" s="298"/>
      <c r="BO89" s="297">
        <f t="shared" si="60"/>
        <v>0.59000000000000019</v>
      </c>
      <c r="BP89" s="298"/>
    </row>
    <row r="90" spans="2:118" ht="18" customHeight="1">
      <c r="B90" s="91" t="s">
        <v>37</v>
      </c>
      <c r="C90" s="88"/>
      <c r="D90" s="88"/>
      <c r="G90" s="348" t="str">
        <f>G89</f>
        <v>André G.</v>
      </c>
      <c r="H90" s="349"/>
      <c r="I90" s="349"/>
      <c r="J90" s="350"/>
      <c r="N90" s="148" t="s">
        <v>623</v>
      </c>
      <c r="BB90" s="283">
        <f>Curva_Nelson!D318</f>
        <v>13000</v>
      </c>
      <c r="BC90" s="283"/>
      <c r="BD90" s="283">
        <f>Curva_Nelson!E318</f>
        <v>35.5</v>
      </c>
      <c r="BE90" s="283"/>
      <c r="BF90" s="283">
        <f>Curva_Nelson!F318</f>
        <v>0.3</v>
      </c>
      <c r="BG90" s="283"/>
      <c r="BK90" s="297">
        <f t="shared" si="46"/>
        <v>0.54000000000000015</v>
      </c>
      <c r="BL90" s="297"/>
      <c r="BM90" s="298">
        <v>0.17</v>
      </c>
      <c r="BN90" s="298"/>
      <c r="BO90" s="297">
        <f t="shared" si="60"/>
        <v>0.62000000000000022</v>
      </c>
      <c r="BP90" s="298"/>
    </row>
    <row r="91" spans="2:118" ht="18" customHeight="1">
      <c r="BB91" s="283">
        <f>Curva_Nelson!D319</f>
        <v>14000</v>
      </c>
      <c r="BC91" s="283"/>
      <c r="BD91" s="283">
        <f>Curva_Nelson!E319</f>
        <v>38</v>
      </c>
      <c r="BE91" s="283"/>
      <c r="BF91" s="283">
        <f>Curva_Nelson!F319</f>
        <v>0.34</v>
      </c>
      <c r="BG91" s="283"/>
      <c r="BK91" s="297">
        <f t="shared" si="46"/>
        <v>0.56000000000000016</v>
      </c>
      <c r="BL91" s="297"/>
      <c r="BM91" s="298">
        <v>0.18</v>
      </c>
      <c r="BN91" s="298"/>
      <c r="BO91" s="297">
        <f t="shared" si="60"/>
        <v>0.65000000000000024</v>
      </c>
      <c r="BP91" s="298"/>
    </row>
    <row r="92" spans="2:118" ht="18" customHeight="1">
      <c r="BB92" s="283">
        <f>Curva_Nelson!D320</f>
        <v>15000</v>
      </c>
      <c r="BC92" s="283"/>
      <c r="BD92" s="283">
        <f>Curva_Nelson!E320</f>
        <v>41</v>
      </c>
      <c r="BE92" s="283"/>
      <c r="BF92" s="283">
        <f>Curva_Nelson!F320</f>
        <v>0.4</v>
      </c>
      <c r="BG92" s="283"/>
      <c r="BK92" s="297">
        <f t="shared" si="46"/>
        <v>0.58000000000000018</v>
      </c>
      <c r="BL92" s="297"/>
      <c r="BM92" s="298">
        <v>0.19</v>
      </c>
      <c r="BN92" s="298"/>
      <c r="BO92" s="297">
        <f t="shared" si="60"/>
        <v>0.68000000000000027</v>
      </c>
      <c r="BP92" s="298"/>
      <c r="DN92" s="1"/>
    </row>
    <row r="93" spans="2:118" ht="18" customHeight="1">
      <c r="B93" s="182" t="s">
        <v>293</v>
      </c>
      <c r="BB93" s="283">
        <f>Curva_Nelson!D321</f>
        <v>16000</v>
      </c>
      <c r="BC93" s="283"/>
      <c r="BD93" s="283">
        <f>Curva_Nelson!E321</f>
        <v>45</v>
      </c>
      <c r="BE93" s="283"/>
      <c r="BF93" s="283">
        <f>Curva_Nelson!F321</f>
        <v>0.45</v>
      </c>
      <c r="BG93" s="283"/>
      <c r="BK93" s="297">
        <f t="shared" si="46"/>
        <v>0.6000000000000002</v>
      </c>
      <c r="BL93" s="297"/>
      <c r="BM93" s="298">
        <v>0.2</v>
      </c>
      <c r="BN93" s="298"/>
      <c r="BO93" s="297">
        <f t="shared" si="60"/>
        <v>0.7100000000000003</v>
      </c>
      <c r="BP93" s="298"/>
      <c r="DN93" s="1"/>
    </row>
    <row r="94" spans="2:118" ht="18" customHeight="1">
      <c r="B94" s="170" t="s">
        <v>290</v>
      </c>
      <c r="M94" s="110" t="s">
        <v>284</v>
      </c>
      <c r="O94" s="171">
        <f>40000/5</f>
        <v>8000</v>
      </c>
      <c r="P94" s="130"/>
      <c r="BB94" s="283">
        <f>Curva_Nelson!D322</f>
        <v>17000</v>
      </c>
      <c r="BC94" s="283"/>
      <c r="BD94" s="283">
        <f>Curva_Nelson!E322</f>
        <v>52</v>
      </c>
      <c r="BE94" s="283"/>
      <c r="BF94" s="283">
        <f>Curva_Nelson!F322</f>
        <v>0.56000000000000005</v>
      </c>
      <c r="BG94" s="283"/>
      <c r="BK94" s="297">
        <f t="shared" si="46"/>
        <v>0.62000000000000022</v>
      </c>
      <c r="BL94" s="297"/>
      <c r="BM94" s="298">
        <v>0.21</v>
      </c>
      <c r="BN94" s="298"/>
      <c r="BO94" s="297">
        <f t="shared" si="60"/>
        <v>0.74000000000000032</v>
      </c>
      <c r="BP94" s="298"/>
      <c r="DN94" s="1"/>
    </row>
    <row r="95" spans="2:118" ht="18" customHeight="1">
      <c r="B95" s="170" t="s">
        <v>304</v>
      </c>
      <c r="M95" s="110" t="s">
        <v>285</v>
      </c>
      <c r="O95" s="130">
        <f>O94*G7/1000</f>
        <v>40</v>
      </c>
      <c r="P95" s="130"/>
      <c r="BB95" s="283">
        <f>Curva_Nelson!D323</f>
        <v>18000</v>
      </c>
      <c r="BC95" s="283"/>
      <c r="BD95" s="283">
        <f>Curva_Nelson!E323</f>
        <v>57</v>
      </c>
      <c r="BE95" s="283"/>
      <c r="BF95" s="283">
        <f>Curva_Nelson!F323</f>
        <v>0.8</v>
      </c>
      <c r="BG95" s="283"/>
      <c r="BK95" s="297">
        <f t="shared" si="46"/>
        <v>0.64000000000000024</v>
      </c>
      <c r="BL95" s="297"/>
      <c r="BM95" s="298">
        <v>0.22</v>
      </c>
      <c r="BN95" s="298"/>
      <c r="BO95" s="297">
        <f t="shared" si="60"/>
        <v>0.77000000000000035</v>
      </c>
      <c r="BP95" s="298"/>
      <c r="DN95" s="1"/>
    </row>
    <row r="96" spans="2:118" ht="18" customHeight="1">
      <c r="B96" s="170" t="s">
        <v>296</v>
      </c>
      <c r="M96" s="173" t="s">
        <v>295</v>
      </c>
      <c r="O96" s="172">
        <f>J54</f>
        <v>5.2600000000000001E-2</v>
      </c>
      <c r="P96" s="130"/>
      <c r="BB96" s="283">
        <f>Curva_Nelson!D324</f>
        <v>19000</v>
      </c>
      <c r="BC96" s="283"/>
      <c r="BD96" s="283">
        <f>Curva_Nelson!E324</f>
        <v>67</v>
      </c>
      <c r="BE96" s="283"/>
      <c r="BF96" s="283">
        <f>Curva_Nelson!F324</f>
        <v>1.8</v>
      </c>
      <c r="BG96" s="283"/>
      <c r="BK96" s="297">
        <f t="shared" si="46"/>
        <v>0.66000000000000025</v>
      </c>
      <c r="BL96" s="297"/>
      <c r="BM96" s="298">
        <v>0.23</v>
      </c>
      <c r="BN96" s="298"/>
      <c r="BO96" s="297">
        <f t="shared" si="60"/>
        <v>0.80000000000000038</v>
      </c>
      <c r="BP96" s="298"/>
      <c r="DN96" s="1"/>
    </row>
    <row r="97" spans="2:118" ht="18" customHeight="1">
      <c r="B97" s="170" t="s">
        <v>299</v>
      </c>
      <c r="M97" s="173" t="s">
        <v>297</v>
      </c>
      <c r="O97" s="130">
        <v>3.5750000000000002</v>
      </c>
      <c r="P97" s="130"/>
      <c r="BB97" s="283">
        <f>Curva_Nelson!D325</f>
        <v>20000</v>
      </c>
      <c r="BC97" s="283"/>
      <c r="BD97" s="283">
        <f>Curva_Nelson!E325</f>
        <v>72</v>
      </c>
      <c r="BE97" s="283"/>
      <c r="BF97" s="283">
        <f>Curva_Nelson!F325</f>
        <v>5</v>
      </c>
      <c r="BG97" s="283"/>
      <c r="BK97" s="297">
        <f t="shared" si="46"/>
        <v>0.68000000000000027</v>
      </c>
      <c r="BL97" s="297"/>
      <c r="BM97" s="298">
        <v>0.24</v>
      </c>
      <c r="BN97" s="298"/>
      <c r="BO97" s="297">
        <f t="shared" si="60"/>
        <v>0.8300000000000004</v>
      </c>
      <c r="BP97" s="298"/>
      <c r="DN97" s="1"/>
    </row>
    <row r="98" spans="2:118" ht="18" customHeight="1">
      <c r="B98" s="170" t="s">
        <v>298</v>
      </c>
      <c r="M98" s="173" t="s">
        <v>300</v>
      </c>
      <c r="O98" s="174">
        <v>1.725E-6</v>
      </c>
      <c r="P98" s="130"/>
      <c r="BB98" s="283">
        <f>Curva_Nelson!D326</f>
        <v>21000</v>
      </c>
      <c r="BC98" s="283"/>
      <c r="BD98" s="283">
        <f>Curva_Nelson!E326</f>
        <v>78</v>
      </c>
      <c r="BE98" s="283"/>
      <c r="BF98" s="283">
        <f>Curva_Nelson!F326</f>
        <v>10</v>
      </c>
      <c r="BG98" s="283"/>
      <c r="BK98" s="297">
        <f t="shared" si="46"/>
        <v>0.70000000000000029</v>
      </c>
      <c r="BL98" s="297"/>
      <c r="BM98" s="298">
        <v>0.25</v>
      </c>
      <c r="BN98" s="298"/>
      <c r="BO98" s="297">
        <f t="shared" si="60"/>
        <v>0.86000000000000043</v>
      </c>
      <c r="BP98" s="298"/>
      <c r="DN98" s="1"/>
    </row>
    <row r="99" spans="2:118" ht="18" customHeight="1">
      <c r="B99" s="109" t="s">
        <v>286</v>
      </c>
      <c r="M99" s="110" t="s">
        <v>287</v>
      </c>
      <c r="O99" s="130">
        <f>IF(AM6=2,3,1)</f>
        <v>3</v>
      </c>
      <c r="P99" s="130"/>
      <c r="BK99" s="297">
        <f t="shared" si="46"/>
        <v>0.72000000000000031</v>
      </c>
      <c r="BL99" s="297"/>
      <c r="BM99" s="298">
        <v>0.26</v>
      </c>
      <c r="BN99" s="298"/>
      <c r="BO99" s="297">
        <f t="shared" si="60"/>
        <v>0.89000000000000046</v>
      </c>
      <c r="BP99" s="298"/>
      <c r="DN99" s="1"/>
    </row>
    <row r="100" spans="2:118" ht="18" customHeight="1">
      <c r="B100" s="170" t="s">
        <v>301</v>
      </c>
      <c r="M100" s="173" t="s">
        <v>1</v>
      </c>
      <c r="O100" s="130">
        <v>234.5</v>
      </c>
      <c r="P100" s="130"/>
      <c r="BK100" s="297">
        <f t="shared" si="46"/>
        <v>0.74000000000000032</v>
      </c>
      <c r="BL100" s="297"/>
      <c r="BM100" s="298">
        <v>0.27</v>
      </c>
      <c r="BN100" s="298"/>
      <c r="BO100" s="297">
        <f>BO99+0.04</f>
        <v>0.93000000000000049</v>
      </c>
      <c r="BP100" s="298"/>
    </row>
    <row r="101" spans="2:118" ht="18" customHeight="1">
      <c r="B101" s="109" t="s">
        <v>288</v>
      </c>
      <c r="M101" s="110" t="s">
        <v>289</v>
      </c>
      <c r="O101" s="130">
        <v>80</v>
      </c>
      <c r="P101" s="130"/>
      <c r="BK101" s="297">
        <f t="shared" si="46"/>
        <v>0.76000000000000034</v>
      </c>
      <c r="BL101" s="297"/>
      <c r="BM101" s="298">
        <v>0.28000000000000003</v>
      </c>
      <c r="BN101" s="298"/>
      <c r="BO101" s="297">
        <f t="shared" ref="BO101:BO121" si="61">BO100+0.04</f>
        <v>0.97000000000000053</v>
      </c>
      <c r="BP101" s="298"/>
    </row>
    <row r="102" spans="2:118" ht="18" customHeight="1">
      <c r="B102" s="170" t="s">
        <v>302</v>
      </c>
      <c r="M102" s="110" t="s">
        <v>289</v>
      </c>
      <c r="O102" s="130">
        <v>30</v>
      </c>
      <c r="P102" s="130"/>
      <c r="BK102" s="297">
        <f t="shared" si="46"/>
        <v>0.78000000000000036</v>
      </c>
      <c r="BL102" s="297"/>
      <c r="BM102" s="298">
        <v>0.29099999999999998</v>
      </c>
      <c r="BN102" s="298"/>
      <c r="BO102" s="297">
        <f t="shared" si="61"/>
        <v>1.0100000000000005</v>
      </c>
      <c r="BP102" s="298"/>
    </row>
    <row r="103" spans="2:118" ht="18" customHeight="1">
      <c r="B103" s="170" t="s">
        <v>292</v>
      </c>
      <c r="M103" s="110" t="s">
        <v>289</v>
      </c>
      <c r="O103" s="130">
        <f>O101+O102</f>
        <v>110</v>
      </c>
      <c r="P103" s="130"/>
      <c r="BK103" s="297">
        <f t="shared" si="46"/>
        <v>0.80000000000000038</v>
      </c>
      <c r="BL103" s="297"/>
      <c r="BM103" s="298">
        <v>0.30199999999999999</v>
      </c>
      <c r="BN103" s="298"/>
      <c r="BO103" s="297">
        <f t="shared" si="61"/>
        <v>1.0500000000000005</v>
      </c>
      <c r="BP103" s="298"/>
    </row>
    <row r="104" spans="2:118" ht="18" customHeight="1">
      <c r="B104" s="170" t="s">
        <v>291</v>
      </c>
      <c r="M104" s="110" t="s">
        <v>289</v>
      </c>
      <c r="O104" s="130">
        <v>250</v>
      </c>
      <c r="P104" s="130"/>
      <c r="BK104" s="297">
        <f t="shared" si="46"/>
        <v>0.8200000000000004</v>
      </c>
      <c r="BL104" s="297"/>
      <c r="BM104" s="298">
        <v>0.314</v>
      </c>
      <c r="BN104" s="298"/>
      <c r="BO104" s="297">
        <f t="shared" si="61"/>
        <v>1.0900000000000005</v>
      </c>
      <c r="BP104" s="298"/>
    </row>
    <row r="105" spans="2:118" ht="18" customHeight="1">
      <c r="B105" s="170" t="s">
        <v>303</v>
      </c>
      <c r="M105" s="173" t="s">
        <v>227</v>
      </c>
      <c r="O105" s="130">
        <v>0.05</v>
      </c>
      <c r="P105" s="130"/>
      <c r="BK105" s="297">
        <f t="shared" si="46"/>
        <v>0.84000000000000041</v>
      </c>
      <c r="BL105" s="297"/>
      <c r="BM105" s="298">
        <v>0.32600000000000001</v>
      </c>
      <c r="BN105" s="298"/>
      <c r="BO105" s="297">
        <f t="shared" si="61"/>
        <v>1.1300000000000006</v>
      </c>
      <c r="BP105" s="298"/>
    </row>
    <row r="106" spans="2:118" ht="18" customHeight="1">
      <c r="B106" s="170" t="s">
        <v>305</v>
      </c>
      <c r="M106" s="173" t="s">
        <v>294</v>
      </c>
      <c r="O106" s="175">
        <f>(O97*(O100+20)/(2*O98*O99))^0.5*(LN(((O100+O104)/(O100+O103))^2+O105)/(1+O105))^0.5</f>
        <v>7693.6129462771914</v>
      </c>
      <c r="P106" s="130"/>
      <c r="BK106" s="297">
        <f t="shared" si="46"/>
        <v>0.86000000000000043</v>
      </c>
      <c r="BL106" s="297"/>
      <c r="BM106" s="298">
        <v>0.33800000000000002</v>
      </c>
      <c r="BN106" s="298"/>
      <c r="BO106" s="297">
        <f t="shared" si="61"/>
        <v>1.1700000000000006</v>
      </c>
      <c r="BP106" s="298"/>
    </row>
    <row r="107" spans="2:118" ht="18" customHeight="1">
      <c r="B107" s="170" t="s">
        <v>306</v>
      </c>
      <c r="M107" s="173" t="s">
        <v>197</v>
      </c>
      <c r="O107" s="175">
        <f>O106*O96</f>
        <v>404.68404097418028</v>
      </c>
      <c r="P107" s="130"/>
      <c r="BK107" s="297">
        <f t="shared" si="46"/>
        <v>0.88000000000000045</v>
      </c>
      <c r="BL107" s="297"/>
      <c r="BM107" s="298">
        <v>0.35099999999999998</v>
      </c>
      <c r="BN107" s="298"/>
      <c r="BO107" s="297">
        <f t="shared" si="61"/>
        <v>1.2100000000000006</v>
      </c>
      <c r="BP107" s="298"/>
    </row>
    <row r="108" spans="2:118" ht="18" customHeight="1">
      <c r="B108" s="170" t="s">
        <v>310</v>
      </c>
      <c r="M108" s="173" t="s">
        <v>284</v>
      </c>
      <c r="O108" s="175">
        <f>INT(O107/G7)</f>
        <v>80</v>
      </c>
      <c r="P108" s="130"/>
      <c r="Q108" s="170" t="s">
        <v>308</v>
      </c>
      <c r="BK108" s="297">
        <f t="shared" si="46"/>
        <v>0.90000000000000047</v>
      </c>
      <c r="BL108" s="297"/>
      <c r="BM108" s="298">
        <v>0.36399999999999999</v>
      </c>
      <c r="BN108" s="298"/>
      <c r="BO108" s="297">
        <f t="shared" si="61"/>
        <v>1.2500000000000007</v>
      </c>
      <c r="BP108" s="298"/>
    </row>
    <row r="109" spans="2:118" ht="18" customHeight="1">
      <c r="B109" s="170" t="s">
        <v>312</v>
      </c>
      <c r="M109" s="173" t="s">
        <v>284</v>
      </c>
      <c r="O109" s="175">
        <f>ROUND(O108*IF(AM6=2,2.7,2.5),0)</f>
        <v>216</v>
      </c>
      <c r="P109" s="130"/>
      <c r="Q109" s="170"/>
      <c r="BK109" s="297">
        <f t="shared" si="46"/>
        <v>0.92000000000000048</v>
      </c>
      <c r="BL109" s="297"/>
      <c r="BM109" s="298">
        <v>0.378</v>
      </c>
      <c r="BN109" s="298"/>
      <c r="BO109" s="297">
        <f t="shared" si="61"/>
        <v>1.2900000000000007</v>
      </c>
      <c r="BP109" s="298"/>
    </row>
    <row r="110" spans="2:118" ht="18" customHeight="1">
      <c r="B110" s="176" t="s">
        <v>311</v>
      </c>
      <c r="C110" s="177"/>
      <c r="D110" s="177"/>
      <c r="E110" s="177"/>
      <c r="F110" s="177"/>
      <c r="G110" s="177"/>
      <c r="H110" s="177"/>
      <c r="I110" s="177"/>
      <c r="J110" s="177"/>
      <c r="K110" s="177"/>
      <c r="L110" s="177"/>
      <c r="M110" s="178" t="s">
        <v>285</v>
      </c>
      <c r="N110" s="177"/>
      <c r="O110" s="179">
        <f>O107/G7*D7/1000</f>
        <v>323.74723277934424</v>
      </c>
      <c r="P110" s="180"/>
      <c r="BK110" s="297">
        <f t="shared" si="46"/>
        <v>0.9400000000000005</v>
      </c>
      <c r="BL110" s="297"/>
      <c r="BM110" s="298">
        <v>0.39300000000000002</v>
      </c>
      <c r="BN110" s="298"/>
      <c r="BO110" s="297">
        <f t="shared" si="61"/>
        <v>1.3300000000000007</v>
      </c>
      <c r="BP110" s="298"/>
    </row>
    <row r="111" spans="2:118" ht="18" customHeight="1">
      <c r="B111" s="176" t="s">
        <v>307</v>
      </c>
      <c r="C111" s="177"/>
      <c r="D111" s="177"/>
      <c r="E111" s="177"/>
      <c r="F111" s="177"/>
      <c r="G111" s="177"/>
      <c r="H111" s="177"/>
      <c r="I111" s="177"/>
      <c r="J111" s="177"/>
      <c r="K111" s="177"/>
      <c r="L111" s="177"/>
      <c r="M111" s="178" t="s">
        <v>285</v>
      </c>
      <c r="N111" s="177"/>
      <c r="O111" s="181">
        <f>IF(O110&gt;200,100,IF(O110&gt;40,40,IF(O110&gt;10,10,INT(O110))))</f>
        <v>100</v>
      </c>
      <c r="P111" s="180"/>
      <c r="Q111" s="170" t="s">
        <v>309</v>
      </c>
      <c r="BK111" s="297">
        <f t="shared" si="46"/>
        <v>0.96000000000000052</v>
      </c>
      <c r="BL111" s="297"/>
      <c r="BM111" s="298">
        <v>0.40899999999999997</v>
      </c>
      <c r="BN111" s="298"/>
      <c r="BO111" s="297">
        <f t="shared" si="61"/>
        <v>1.3700000000000008</v>
      </c>
      <c r="BP111" s="298"/>
    </row>
    <row r="112" spans="2:118" ht="18" customHeight="1">
      <c r="BK112" s="297">
        <f t="shared" si="46"/>
        <v>0.98000000000000054</v>
      </c>
      <c r="BL112" s="297"/>
      <c r="BM112" s="298">
        <v>0.42599999999999999</v>
      </c>
      <c r="BN112" s="298"/>
      <c r="BO112" s="297">
        <f t="shared" si="61"/>
        <v>1.4100000000000008</v>
      </c>
      <c r="BP112" s="298"/>
    </row>
    <row r="113" spans="2:68" ht="18" customHeight="1">
      <c r="B113" s="182" t="s">
        <v>313</v>
      </c>
      <c r="BK113" s="297">
        <f t="shared" si="46"/>
        <v>1.0000000000000004</v>
      </c>
      <c r="BL113" s="297"/>
      <c r="BM113" s="298">
        <v>0.44400000000000001</v>
      </c>
      <c r="BN113" s="298"/>
      <c r="BO113" s="297">
        <f t="shared" si="61"/>
        <v>1.4500000000000008</v>
      </c>
      <c r="BP113" s="298"/>
    </row>
    <row r="114" spans="2:68" ht="18" customHeight="1">
      <c r="B114" s="170" t="s">
        <v>316</v>
      </c>
      <c r="O114" s="175">
        <f>AN16</f>
        <v>3</v>
      </c>
      <c r="P114" s="130"/>
      <c r="BK114" s="297">
        <f t="shared" si="46"/>
        <v>1.0200000000000005</v>
      </c>
      <c r="BL114" s="297"/>
      <c r="BM114" s="298">
        <v>0.46300000000000002</v>
      </c>
      <c r="BN114" s="298"/>
      <c r="BO114" s="297">
        <f t="shared" si="61"/>
        <v>1.4900000000000009</v>
      </c>
      <c r="BP114" s="298"/>
    </row>
    <row r="115" spans="2:68" ht="18" customHeight="1">
      <c r="B115" s="170" t="s">
        <v>314</v>
      </c>
      <c r="M115" s="173" t="s">
        <v>30</v>
      </c>
      <c r="O115" s="175">
        <f>AP25*(O114-1)</f>
        <v>0.2</v>
      </c>
      <c r="P115" s="130"/>
      <c r="BK115" s="297">
        <f t="shared" si="46"/>
        <v>1.0400000000000005</v>
      </c>
      <c r="BL115" s="297"/>
      <c r="BM115" s="298">
        <v>0.48299999999999998</v>
      </c>
      <c r="BN115" s="298"/>
      <c r="BO115" s="297">
        <f t="shared" si="61"/>
        <v>1.5300000000000009</v>
      </c>
      <c r="BP115" s="298"/>
    </row>
    <row r="116" spans="2:68" ht="18" customHeight="1">
      <c r="B116" s="170" t="s">
        <v>315</v>
      </c>
      <c r="M116" s="173" t="s">
        <v>30</v>
      </c>
      <c r="O116" s="175">
        <f>AN25*1.5+AR25</f>
        <v>3.1</v>
      </c>
      <c r="P116" s="130"/>
      <c r="BK116" s="297">
        <f t="shared" si="46"/>
        <v>1.0600000000000005</v>
      </c>
      <c r="BL116" s="297"/>
      <c r="BM116" s="298">
        <v>0.504</v>
      </c>
      <c r="BN116" s="298"/>
      <c r="BO116" s="297">
        <f t="shared" si="61"/>
        <v>1.570000000000001</v>
      </c>
      <c r="BP116" s="298"/>
    </row>
    <row r="117" spans="2:68" ht="18" customHeight="1">
      <c r="B117" s="170" t="s">
        <v>318</v>
      </c>
      <c r="M117" s="173"/>
      <c r="O117" s="175">
        <f>ROUND((((-(0.0000126*O116^2+0.000325*O116)*O115^2)+(0.0012*O116^2+0.00484*O116+0.087)*O115)-((0.0176*O116^2-0.208*O116)-1)),2)</f>
        <v>1.5</v>
      </c>
      <c r="P117" s="130"/>
      <c r="BK117" s="297">
        <f t="shared" si="46"/>
        <v>1.0800000000000005</v>
      </c>
      <c r="BL117" s="297"/>
      <c r="BM117" s="298">
        <v>0.52700000000000002</v>
      </c>
      <c r="BN117" s="298"/>
      <c r="BO117" s="297">
        <f t="shared" si="61"/>
        <v>1.610000000000001</v>
      </c>
      <c r="BP117" s="298"/>
    </row>
    <row r="118" spans="2:68" ht="18" customHeight="1">
      <c r="B118" s="170" t="s">
        <v>317</v>
      </c>
      <c r="O118" s="175">
        <f>ROUND(O117*O114^2,2)</f>
        <v>13.5</v>
      </c>
      <c r="P118" s="130"/>
      <c r="BK118" s="297">
        <f t="shared" si="46"/>
        <v>1.1000000000000005</v>
      </c>
      <c r="BL118" s="297"/>
      <c r="BM118" s="298">
        <v>0.55200000000000005</v>
      </c>
      <c r="BN118" s="298"/>
      <c r="BO118" s="297">
        <f t="shared" si="61"/>
        <v>1.650000000000001</v>
      </c>
      <c r="BP118" s="298"/>
    </row>
    <row r="119" spans="2:68" ht="18" customHeight="1">
      <c r="B119" s="170" t="s">
        <v>319</v>
      </c>
      <c r="O119" s="175">
        <f>O118/O114</f>
        <v>4.5</v>
      </c>
      <c r="P119" s="130"/>
      <c r="BK119" s="297">
        <f t="shared" si="46"/>
        <v>1.1200000000000006</v>
      </c>
      <c r="BL119" s="297"/>
      <c r="BM119" s="298">
        <v>0.57899999999999996</v>
      </c>
      <c r="BN119" s="298"/>
      <c r="BO119" s="297">
        <f t="shared" si="61"/>
        <v>1.6900000000000011</v>
      </c>
      <c r="BP119" s="298"/>
    </row>
    <row r="120" spans="2:68" ht="18" customHeight="1">
      <c r="B120" s="170" t="s">
        <v>321</v>
      </c>
      <c r="M120" s="173" t="s">
        <v>320</v>
      </c>
      <c r="O120" s="175">
        <f>ROUND(1.05*D12^2*AN11*PI()/4*1.3*O119*1.02*0.0000001,4)</f>
        <v>4.7899999999999998E-2</v>
      </c>
      <c r="P120" s="130"/>
      <c r="BK120" s="297">
        <f t="shared" si="46"/>
        <v>1.1400000000000006</v>
      </c>
      <c r="BL120" s="297"/>
      <c r="BM120" s="298">
        <v>0.60799999999999998</v>
      </c>
      <c r="BN120" s="298"/>
      <c r="BO120" s="297">
        <f t="shared" si="61"/>
        <v>1.7300000000000011</v>
      </c>
      <c r="BP120" s="298"/>
    </row>
    <row r="121" spans="2:68" ht="18" customHeight="1">
      <c r="B121" s="170" t="s">
        <v>322</v>
      </c>
      <c r="M121" s="110" t="s">
        <v>289</v>
      </c>
      <c r="O121" s="185">
        <f>ROUND((O120*208.7)^0.812*0.9,1)</f>
        <v>5.8</v>
      </c>
      <c r="P121" s="130"/>
      <c r="BK121" s="297">
        <f t="shared" si="46"/>
        <v>1.1600000000000006</v>
      </c>
      <c r="BL121" s="297"/>
      <c r="BM121" s="298">
        <v>0.64</v>
      </c>
      <c r="BN121" s="298"/>
      <c r="BO121" s="297">
        <f t="shared" si="61"/>
        <v>1.7700000000000011</v>
      </c>
      <c r="BP121" s="298"/>
    </row>
    <row r="122" spans="2:68" ht="18" customHeight="1">
      <c r="BK122" s="297">
        <f t="shared" si="46"/>
        <v>1.1800000000000006</v>
      </c>
      <c r="BL122" s="297"/>
      <c r="BM122" s="298">
        <v>0.67500000000000004</v>
      </c>
      <c r="BN122" s="298"/>
      <c r="BO122" s="297">
        <f t="shared" ref="BO122" si="62">BO121+0.05</f>
        <v>1.8200000000000012</v>
      </c>
      <c r="BP122" s="298"/>
    </row>
    <row r="123" spans="2:68" ht="18" customHeight="1" thickBot="1">
      <c r="O123" s="170"/>
      <c r="BK123" s="299">
        <f t="shared" si="46"/>
        <v>1.2000000000000006</v>
      </c>
      <c r="BL123" s="299"/>
      <c r="BM123" s="300">
        <v>0.71099999999999997</v>
      </c>
      <c r="BN123" s="300"/>
      <c r="BO123" s="299">
        <f>BO122+0.05</f>
        <v>1.8700000000000012</v>
      </c>
      <c r="BP123" s="300"/>
    </row>
    <row r="124" spans="2:68" ht="18" customHeight="1">
      <c r="B124" s="170" t="s">
        <v>325</v>
      </c>
      <c r="M124" s="173" t="s">
        <v>30</v>
      </c>
      <c r="O124" s="175">
        <f>(4*I49*100/PI())^0.5</f>
        <v>34.778981691510239</v>
      </c>
      <c r="P124" s="130"/>
      <c r="BK124" s="301">
        <f t="shared" si="46"/>
        <v>1.2200000000000006</v>
      </c>
      <c r="BL124" s="301"/>
      <c r="BM124" s="302">
        <v>0.74924999999999997</v>
      </c>
      <c r="BN124" s="302"/>
      <c r="BO124" s="301">
        <v>1.96</v>
      </c>
      <c r="BP124" s="301"/>
    </row>
    <row r="125" spans="2:68" ht="18" customHeight="1">
      <c r="B125" s="170" t="s">
        <v>324</v>
      </c>
      <c r="M125" s="110" t="s">
        <v>289</v>
      </c>
      <c r="O125" s="185">
        <f>ROUND((O124*G71*0.012563214+0.4921)/0.0492,1)</f>
        <v>539.1</v>
      </c>
      <c r="P125" s="130"/>
      <c r="BK125" s="297">
        <f>BK124+0.02</f>
        <v>1.2400000000000007</v>
      </c>
      <c r="BL125" s="297"/>
      <c r="BM125" s="298">
        <v>0.80325000000000002</v>
      </c>
      <c r="BN125" s="298"/>
      <c r="BO125" s="297">
        <v>2.1</v>
      </c>
      <c r="BP125" s="297"/>
    </row>
    <row r="126" spans="2:68" ht="18" customHeight="1">
      <c r="BK126" s="297">
        <f t="shared" ref="BK126:BK159" si="63">BK125+0.02</f>
        <v>1.2600000000000007</v>
      </c>
      <c r="BL126" s="297"/>
      <c r="BM126" s="298">
        <v>0.85050000000000003</v>
      </c>
      <c r="BN126" s="298"/>
      <c r="BO126" s="297">
        <v>2.2400000000000002</v>
      </c>
      <c r="BP126" s="297"/>
    </row>
    <row r="127" spans="2:68" ht="18" customHeight="1">
      <c r="BK127" s="297">
        <f t="shared" si="63"/>
        <v>1.2800000000000007</v>
      </c>
      <c r="BL127" s="297"/>
      <c r="BM127" s="298">
        <v>0.90449999999999997</v>
      </c>
      <c r="BN127" s="298"/>
      <c r="BO127" s="297">
        <v>2.38</v>
      </c>
      <c r="BP127" s="297"/>
    </row>
    <row r="128" spans="2:68" ht="18" customHeight="1">
      <c r="BK128" s="297">
        <f t="shared" si="63"/>
        <v>1.3000000000000007</v>
      </c>
      <c r="BL128" s="297"/>
      <c r="BM128" s="298">
        <v>0.95850000000000002</v>
      </c>
      <c r="BN128" s="298"/>
      <c r="BO128" s="297">
        <v>2.4500000000000002</v>
      </c>
      <c r="BP128" s="297"/>
    </row>
    <row r="129" spans="63:68" ht="18" customHeight="1">
      <c r="BK129" s="297">
        <f t="shared" si="63"/>
        <v>1.3200000000000007</v>
      </c>
      <c r="BL129" s="297"/>
      <c r="BM129" s="298">
        <v>1.0125</v>
      </c>
      <c r="BN129" s="298"/>
      <c r="BO129" s="297">
        <v>2.52</v>
      </c>
      <c r="BP129" s="297"/>
    </row>
    <row r="130" spans="63:68" ht="18" customHeight="1">
      <c r="BK130" s="297">
        <f t="shared" si="63"/>
        <v>1.3400000000000007</v>
      </c>
      <c r="BL130" s="297"/>
      <c r="BM130" s="298">
        <v>1.0665</v>
      </c>
      <c r="BN130" s="298"/>
      <c r="BO130" s="297">
        <v>2.59</v>
      </c>
      <c r="BP130" s="297"/>
    </row>
    <row r="131" spans="63:68" ht="18" customHeight="1">
      <c r="BK131" s="297">
        <f t="shared" si="63"/>
        <v>1.3600000000000008</v>
      </c>
      <c r="BL131" s="297"/>
      <c r="BM131" s="298">
        <v>1.1205000000000001</v>
      </c>
      <c r="BN131" s="298"/>
      <c r="BO131" s="297">
        <v>2.8</v>
      </c>
      <c r="BP131" s="297"/>
    </row>
    <row r="132" spans="63:68" ht="18" customHeight="1">
      <c r="BK132" s="297">
        <f t="shared" si="63"/>
        <v>1.3800000000000008</v>
      </c>
      <c r="BL132" s="297"/>
      <c r="BM132" s="298">
        <v>1.1745000000000001</v>
      </c>
      <c r="BN132" s="298"/>
      <c r="BO132" s="297">
        <v>2.87</v>
      </c>
      <c r="BP132" s="297"/>
    </row>
    <row r="133" spans="63:68" ht="18" customHeight="1">
      <c r="BK133" s="297">
        <f t="shared" si="63"/>
        <v>1.4000000000000008</v>
      </c>
      <c r="BL133" s="297"/>
      <c r="BM133" s="298">
        <v>1.2284999999999999</v>
      </c>
      <c r="BN133" s="298"/>
      <c r="BO133" s="297">
        <v>3.08</v>
      </c>
      <c r="BP133" s="297"/>
    </row>
    <row r="134" spans="63:68" ht="18" customHeight="1">
      <c r="BK134" s="297">
        <f t="shared" si="63"/>
        <v>1.4200000000000008</v>
      </c>
      <c r="BL134" s="297"/>
      <c r="BM134" s="298">
        <v>1.2825</v>
      </c>
      <c r="BN134" s="298"/>
      <c r="BO134" s="297">
        <v>3.22</v>
      </c>
      <c r="BP134" s="297"/>
    </row>
    <row r="135" spans="63:68" ht="18" customHeight="1">
      <c r="BK135" s="297">
        <f t="shared" si="63"/>
        <v>1.4400000000000008</v>
      </c>
      <c r="BL135" s="297"/>
      <c r="BM135" s="298">
        <v>1.3365</v>
      </c>
      <c r="BN135" s="298"/>
      <c r="BO135" s="297">
        <v>3.36</v>
      </c>
      <c r="BP135" s="297"/>
    </row>
    <row r="136" spans="63:68" ht="18" customHeight="1">
      <c r="BK136" s="297">
        <f t="shared" si="63"/>
        <v>1.4600000000000009</v>
      </c>
      <c r="BL136" s="297"/>
      <c r="BM136" s="298">
        <v>1.3905000000000001</v>
      </c>
      <c r="BN136" s="298"/>
      <c r="BO136" s="297">
        <v>3.57</v>
      </c>
      <c r="BP136" s="297"/>
    </row>
    <row r="137" spans="63:68" ht="18" customHeight="1">
      <c r="BK137" s="297">
        <f t="shared" si="63"/>
        <v>1.4800000000000009</v>
      </c>
      <c r="BL137" s="297"/>
      <c r="BM137" s="298">
        <v>1.4444999999999999</v>
      </c>
      <c r="BN137" s="298"/>
      <c r="BO137" s="297">
        <v>3.85</v>
      </c>
      <c r="BP137" s="297"/>
    </row>
    <row r="138" spans="63:68" ht="18" customHeight="1">
      <c r="BK138" s="297">
        <f t="shared" si="63"/>
        <v>1.5000000000000009</v>
      </c>
      <c r="BL138" s="297"/>
      <c r="BM138" s="298">
        <v>1.4984999999999999</v>
      </c>
      <c r="BN138" s="298"/>
      <c r="BO138" s="297">
        <v>3.92</v>
      </c>
      <c r="BP138" s="297"/>
    </row>
    <row r="139" spans="63:68" ht="18" customHeight="1">
      <c r="BK139" s="297">
        <f t="shared" si="63"/>
        <v>1.5200000000000009</v>
      </c>
      <c r="BL139" s="297"/>
      <c r="BM139" s="298">
        <v>1.5389999999999999</v>
      </c>
      <c r="BN139" s="298"/>
      <c r="BO139" s="297">
        <v>4.2699999999999996</v>
      </c>
      <c r="BP139" s="297"/>
    </row>
    <row r="140" spans="63:68" ht="18" customHeight="1">
      <c r="BK140" s="297">
        <f t="shared" si="63"/>
        <v>1.5400000000000009</v>
      </c>
      <c r="BL140" s="297"/>
      <c r="BM140" s="298">
        <v>1.593</v>
      </c>
      <c r="BN140" s="298"/>
      <c r="BO140" s="297">
        <v>4.62</v>
      </c>
      <c r="BP140" s="297"/>
    </row>
    <row r="141" spans="63:68" ht="18" customHeight="1">
      <c r="BK141" s="297">
        <f t="shared" si="63"/>
        <v>1.5600000000000009</v>
      </c>
      <c r="BL141" s="297"/>
      <c r="BM141" s="298">
        <v>1.647</v>
      </c>
      <c r="BN141" s="298"/>
      <c r="BO141" s="297">
        <v>4.9000000000000004</v>
      </c>
      <c r="BP141" s="297"/>
    </row>
    <row r="142" spans="63:68" ht="18" customHeight="1">
      <c r="BK142" s="297">
        <f t="shared" si="63"/>
        <v>1.580000000000001</v>
      </c>
      <c r="BL142" s="297"/>
      <c r="BM142" s="298">
        <v>1.7010000000000001</v>
      </c>
      <c r="BN142" s="298"/>
      <c r="BO142" s="297">
        <v>5.32</v>
      </c>
      <c r="BP142" s="297"/>
    </row>
    <row r="143" spans="63:68" ht="18" customHeight="1">
      <c r="BK143" s="297">
        <f t="shared" si="63"/>
        <v>1.600000000000001</v>
      </c>
      <c r="BL143" s="297"/>
      <c r="BM143" s="298">
        <v>1.7685</v>
      </c>
      <c r="BN143" s="298"/>
      <c r="BO143" s="297">
        <v>5.67</v>
      </c>
      <c r="BP143" s="297"/>
    </row>
    <row r="144" spans="63:68" ht="18" customHeight="1">
      <c r="BK144" s="297">
        <f t="shared" si="63"/>
        <v>1.620000000000001</v>
      </c>
      <c r="BL144" s="297"/>
      <c r="BM144" s="298">
        <v>1.8225</v>
      </c>
      <c r="BN144" s="298"/>
      <c r="BO144" s="297">
        <v>6.16</v>
      </c>
      <c r="BP144" s="297"/>
    </row>
    <row r="145" spans="63:68" ht="18" customHeight="1">
      <c r="BK145" s="297">
        <f t="shared" si="63"/>
        <v>1.640000000000001</v>
      </c>
      <c r="BL145" s="297"/>
      <c r="BM145" s="298">
        <v>1.8967499999999999</v>
      </c>
      <c r="BN145" s="298"/>
      <c r="BO145" s="297">
        <v>6.72</v>
      </c>
      <c r="BP145" s="297"/>
    </row>
    <row r="146" spans="63:68" ht="18" customHeight="1">
      <c r="BK146" s="297">
        <f t="shared" si="63"/>
        <v>1.660000000000001</v>
      </c>
      <c r="BL146" s="297"/>
      <c r="BM146" s="298">
        <v>1.9710000000000001</v>
      </c>
      <c r="BN146" s="298"/>
      <c r="BO146" s="297">
        <v>7.35</v>
      </c>
      <c r="BP146" s="297"/>
    </row>
    <row r="147" spans="63:68" ht="18" customHeight="1">
      <c r="BK147" s="297">
        <f t="shared" si="63"/>
        <v>1.680000000000001</v>
      </c>
      <c r="BL147" s="297"/>
      <c r="BM147" s="298">
        <v>2.052</v>
      </c>
      <c r="BN147" s="298"/>
      <c r="BO147" s="297">
        <v>8.1199999999999992</v>
      </c>
      <c r="BP147" s="297"/>
    </row>
    <row r="148" spans="63:68" ht="18" customHeight="1">
      <c r="BK148" s="297">
        <f t="shared" si="63"/>
        <v>1.7000000000000011</v>
      </c>
      <c r="BL148" s="297"/>
      <c r="BM148" s="298">
        <v>2.133</v>
      </c>
      <c r="BN148" s="298"/>
      <c r="BO148" s="297">
        <v>8.8200009999999995</v>
      </c>
      <c r="BP148" s="297"/>
    </row>
    <row r="149" spans="63:68" ht="18" customHeight="1">
      <c r="BK149" s="297">
        <f t="shared" si="63"/>
        <v>1.7200000000000011</v>
      </c>
      <c r="BL149" s="297"/>
      <c r="BM149" s="298">
        <v>2.2275</v>
      </c>
      <c r="BN149" s="298"/>
      <c r="BO149" s="297">
        <v>9.8000000000000007</v>
      </c>
      <c r="BP149" s="297"/>
    </row>
    <row r="150" spans="63:68" ht="18" customHeight="1">
      <c r="BK150" s="297">
        <f t="shared" si="63"/>
        <v>1.7400000000000011</v>
      </c>
      <c r="BL150" s="297"/>
      <c r="BM150" s="298">
        <v>2.3220000000000001</v>
      </c>
      <c r="BN150" s="298"/>
      <c r="BO150" s="297">
        <v>10.78</v>
      </c>
      <c r="BP150" s="297"/>
    </row>
    <row r="151" spans="63:68" ht="18" customHeight="1">
      <c r="BK151" s="297">
        <f t="shared" si="63"/>
        <v>1.7600000000000011</v>
      </c>
      <c r="BL151" s="297"/>
      <c r="BM151" s="298">
        <v>2.4300000000000002</v>
      </c>
      <c r="BN151" s="298"/>
      <c r="BO151" s="297">
        <v>11.9</v>
      </c>
      <c r="BP151" s="297"/>
    </row>
    <row r="152" spans="63:68" ht="18" customHeight="1">
      <c r="BK152" s="297">
        <f t="shared" si="63"/>
        <v>1.7800000000000011</v>
      </c>
      <c r="BL152" s="297"/>
      <c r="BM152" s="298">
        <v>2.5649999999999999</v>
      </c>
      <c r="BN152" s="298"/>
      <c r="BO152" s="297">
        <v>13.58</v>
      </c>
      <c r="BP152" s="297"/>
    </row>
    <row r="153" spans="63:68" ht="18" customHeight="1">
      <c r="BK153" s="297">
        <f t="shared" si="63"/>
        <v>1.8000000000000012</v>
      </c>
      <c r="BL153" s="297"/>
      <c r="BM153" s="298">
        <v>2.7</v>
      </c>
      <c r="BN153" s="298"/>
      <c r="BO153" s="297">
        <v>15.68</v>
      </c>
      <c r="BP153" s="297"/>
    </row>
    <row r="154" spans="63:68" ht="18" customHeight="1">
      <c r="BK154" s="297">
        <f t="shared" si="63"/>
        <v>1.8200000000000012</v>
      </c>
      <c r="BL154" s="297"/>
      <c r="BM154" s="298">
        <v>2.835</v>
      </c>
      <c r="BN154" s="298"/>
      <c r="BO154" s="297">
        <v>17.920000000000002</v>
      </c>
      <c r="BP154" s="297"/>
    </row>
    <row r="155" spans="63:68" ht="18" customHeight="1">
      <c r="BK155" s="297">
        <f t="shared" si="63"/>
        <v>1.8400000000000012</v>
      </c>
      <c r="BL155" s="297"/>
      <c r="BM155" s="298">
        <v>3.0375000000000001</v>
      </c>
      <c r="BN155" s="298"/>
      <c r="BO155" s="297">
        <v>20.58</v>
      </c>
      <c r="BP155" s="297"/>
    </row>
    <row r="156" spans="63:68" ht="18" customHeight="1">
      <c r="BK156" s="297">
        <f t="shared" si="63"/>
        <v>1.8600000000000012</v>
      </c>
      <c r="BL156" s="297"/>
      <c r="BM156" s="298">
        <v>3.2805</v>
      </c>
      <c r="BN156" s="298"/>
      <c r="BO156" s="297">
        <v>24.22</v>
      </c>
      <c r="BP156" s="297"/>
    </row>
    <row r="157" spans="63:68" ht="18" customHeight="1">
      <c r="BK157" s="297">
        <f t="shared" si="63"/>
        <v>1.8800000000000012</v>
      </c>
      <c r="BL157" s="297"/>
      <c r="BM157" s="298">
        <v>3.645</v>
      </c>
      <c r="BN157" s="298"/>
      <c r="BO157" s="297">
        <v>28.7</v>
      </c>
      <c r="BP157" s="297"/>
    </row>
    <row r="158" spans="63:68" ht="18" customHeight="1">
      <c r="BK158" s="297">
        <f t="shared" si="63"/>
        <v>1.9000000000000012</v>
      </c>
      <c r="BL158" s="297"/>
      <c r="BM158" s="298">
        <v>4.0999999999999996</v>
      </c>
      <c r="BN158" s="298"/>
      <c r="BO158" s="297">
        <v>35</v>
      </c>
      <c r="BP158" s="297"/>
    </row>
    <row r="159" spans="63:68" ht="18" customHeight="1">
      <c r="BK159" s="297">
        <f t="shared" si="63"/>
        <v>1.9200000000000013</v>
      </c>
      <c r="BL159" s="297"/>
      <c r="BM159" s="298">
        <v>4.9000000000000004</v>
      </c>
      <c r="BN159" s="298"/>
      <c r="BO159" s="297">
        <v>44</v>
      </c>
      <c r="BP159" s="297"/>
    </row>
    <row r="1048576" spans="13:13" ht="18" customHeight="1">
      <c r="M1048576" s="173"/>
    </row>
  </sheetData>
  <mergeCells count="295">
    <mergeCell ref="M74:N74"/>
    <mergeCell ref="J72:K72"/>
    <mergeCell ref="V72:W72"/>
    <mergeCell ref="P72:Q72"/>
    <mergeCell ref="G75:H75"/>
    <mergeCell ref="Q7:R7"/>
    <mergeCell ref="M35:N35"/>
    <mergeCell ref="M36:N36"/>
    <mergeCell ref="J66:K66"/>
    <mergeCell ref="V66:W66"/>
    <mergeCell ref="V12:W12"/>
    <mergeCell ref="S39:U39"/>
    <mergeCell ref="V39:W39"/>
    <mergeCell ref="V38:W38"/>
    <mergeCell ref="M68:N68"/>
    <mergeCell ref="M69:N69"/>
    <mergeCell ref="V67:W67"/>
    <mergeCell ref="D30:G30"/>
    <mergeCell ref="J24:J26"/>
    <mergeCell ref="M17:N17"/>
    <mergeCell ref="E17:F17"/>
    <mergeCell ref="G17:H17"/>
    <mergeCell ref="O12:P12"/>
    <mergeCell ref="H37:I37"/>
    <mergeCell ref="G88:J88"/>
    <mergeCell ref="G89:J89"/>
    <mergeCell ref="G90:J90"/>
    <mergeCell ref="G87:J87"/>
    <mergeCell ref="G86:J86"/>
    <mergeCell ref="G72:H72"/>
    <mergeCell ref="P84:Q84"/>
    <mergeCell ref="S84:T84"/>
    <mergeCell ref="V84:W84"/>
    <mergeCell ref="J83:K83"/>
    <mergeCell ref="M83:N83"/>
    <mergeCell ref="P83:Q83"/>
    <mergeCell ref="S83:T83"/>
    <mergeCell ref="V83:W83"/>
    <mergeCell ref="G76:H76"/>
    <mergeCell ref="J76:K76"/>
    <mergeCell ref="V76:W76"/>
    <mergeCell ref="G77:H77"/>
    <mergeCell ref="V77:W77"/>
    <mergeCell ref="P77:Q77"/>
    <mergeCell ref="G74:H74"/>
    <mergeCell ref="J74:K74"/>
    <mergeCell ref="V74:W74"/>
    <mergeCell ref="M72:N72"/>
    <mergeCell ref="BD17:BE17"/>
    <mergeCell ref="BF17:BG17"/>
    <mergeCell ref="AN25:AO25"/>
    <mergeCell ref="AR25:AS25"/>
    <mergeCell ref="AN24:AO24"/>
    <mergeCell ref="BF22:BG22"/>
    <mergeCell ref="BF18:BG18"/>
    <mergeCell ref="D20:F20"/>
    <mergeCell ref="BD18:BE18"/>
    <mergeCell ref="BB20:BC20"/>
    <mergeCell ref="BD20:BE20"/>
    <mergeCell ref="BF20:BG20"/>
    <mergeCell ref="BB19:BC19"/>
    <mergeCell ref="BD19:BE19"/>
    <mergeCell ref="BF19:BG19"/>
    <mergeCell ref="BB22:BC22"/>
    <mergeCell ref="AT19:AU19"/>
    <mergeCell ref="BB17:BC17"/>
    <mergeCell ref="BB18:BC18"/>
    <mergeCell ref="AP24:AQ24"/>
    <mergeCell ref="AX17:AY17"/>
    <mergeCell ref="C21:E21"/>
    <mergeCell ref="F21:G21"/>
    <mergeCell ref="K24:K26"/>
    <mergeCell ref="B40:B44"/>
    <mergeCell ref="I49:K49"/>
    <mergeCell ref="I50:K50"/>
    <mergeCell ref="I51:K51"/>
    <mergeCell ref="H35:I35"/>
    <mergeCell ref="H36:I36"/>
    <mergeCell ref="BD22:BE22"/>
    <mergeCell ref="AZ21:BA21"/>
    <mergeCell ref="AN18:AO18"/>
    <mergeCell ref="AP18:AQ18"/>
    <mergeCell ref="AR18:AS18"/>
    <mergeCell ref="AT18:AU18"/>
    <mergeCell ref="AV18:AW18"/>
    <mergeCell ref="AX18:AY18"/>
    <mergeCell ref="AZ18:BA18"/>
    <mergeCell ref="AN21:AO21"/>
    <mergeCell ref="AP21:AQ21"/>
    <mergeCell ref="AR21:AS21"/>
    <mergeCell ref="AT21:AU21"/>
    <mergeCell ref="AV21:AW21"/>
    <mergeCell ref="AZ20:BA20"/>
    <mergeCell ref="AX19:AY19"/>
    <mergeCell ref="AZ19:BA19"/>
    <mergeCell ref="F29:G29"/>
    <mergeCell ref="AN9:AO9"/>
    <mergeCell ref="AN13:AO13"/>
    <mergeCell ref="AN14:AO14"/>
    <mergeCell ref="AQ10:AR10"/>
    <mergeCell ref="AP13:AQ13"/>
    <mergeCell ref="AR13:AS13"/>
    <mergeCell ref="AT13:AU13"/>
    <mergeCell ref="AV15:AW15"/>
    <mergeCell ref="AN15:AO15"/>
    <mergeCell ref="AV12:AW12"/>
    <mergeCell ref="AV13:AW13"/>
    <mergeCell ref="AP14:AQ14"/>
    <mergeCell ref="AR14:AS14"/>
    <mergeCell ref="AT14:AU14"/>
    <mergeCell ref="AV14:AW14"/>
    <mergeCell ref="B1:X1"/>
    <mergeCell ref="J9:K9"/>
    <mergeCell ref="O11:P11"/>
    <mergeCell ref="Q13:R13"/>
    <mergeCell ref="V13:W13"/>
    <mergeCell ref="V5:X5"/>
    <mergeCell ref="P5:R5"/>
    <mergeCell ref="D7:E7"/>
    <mergeCell ref="T3:X3"/>
    <mergeCell ref="AX22:AY22"/>
    <mergeCell ref="AZ22:BA22"/>
    <mergeCell ref="AV19:AW19"/>
    <mergeCell ref="AP20:AQ20"/>
    <mergeCell ref="AR20:AS20"/>
    <mergeCell ref="AT20:AU20"/>
    <mergeCell ref="AV20:AW20"/>
    <mergeCell ref="AN10:AO10"/>
    <mergeCell ref="AN12:AO12"/>
    <mergeCell ref="AP12:AQ12"/>
    <mergeCell ref="AR12:AS12"/>
    <mergeCell ref="AT12:AU12"/>
    <mergeCell ref="AP15:AQ15"/>
    <mergeCell ref="AR15:AS15"/>
    <mergeCell ref="AT15:AU15"/>
    <mergeCell ref="AN19:AO19"/>
    <mergeCell ref="AP19:AQ19"/>
    <mergeCell ref="AR19:AS19"/>
    <mergeCell ref="AX20:AY20"/>
    <mergeCell ref="AV16:AW16"/>
    <mergeCell ref="AZ17:BA17"/>
    <mergeCell ref="AZ11:BA11"/>
    <mergeCell ref="AQ16:AR16"/>
    <mergeCell ref="AN17:AO17"/>
    <mergeCell ref="P62:Q62"/>
    <mergeCell ref="P63:Q63"/>
    <mergeCell ref="N57:P57"/>
    <mergeCell ref="AV10:AW10"/>
    <mergeCell ref="AP23:AQ23"/>
    <mergeCell ref="S61:T61"/>
    <mergeCell ref="S62:T62"/>
    <mergeCell ref="AN20:AO20"/>
    <mergeCell ref="AN16:AO16"/>
    <mergeCell ref="AN11:AO11"/>
    <mergeCell ref="AV17:AW17"/>
    <mergeCell ref="AP25:AQ25"/>
    <mergeCell ref="AN23:AO23"/>
    <mergeCell ref="V62:W62"/>
    <mergeCell ref="AN22:AO22"/>
    <mergeCell ref="AP22:AQ22"/>
    <mergeCell ref="AR22:AS22"/>
    <mergeCell ref="AT22:AU22"/>
    <mergeCell ref="AV22:AW22"/>
    <mergeCell ref="AP17:AQ17"/>
    <mergeCell ref="AR17:AS17"/>
    <mergeCell ref="AT17:AU17"/>
    <mergeCell ref="H34:I34"/>
    <mergeCell ref="G62:H62"/>
    <mergeCell ref="J62:K62"/>
    <mergeCell ref="M62:N62"/>
    <mergeCell ref="I17:J17"/>
    <mergeCell ref="K17:L17"/>
    <mergeCell ref="H33:I33"/>
    <mergeCell ref="G64:H64"/>
    <mergeCell ref="J64:K64"/>
    <mergeCell ref="H38:I38"/>
    <mergeCell ref="G63:H63"/>
    <mergeCell ref="J63:K63"/>
    <mergeCell ref="I56:K56"/>
    <mergeCell ref="I58:K58"/>
    <mergeCell ref="I57:K57"/>
    <mergeCell ref="G61:H61"/>
    <mergeCell ref="J61:K61"/>
    <mergeCell ref="M61:N61"/>
    <mergeCell ref="M63:N63"/>
    <mergeCell ref="P66:Q66"/>
    <mergeCell ref="G69:H69"/>
    <mergeCell ref="S38:U38"/>
    <mergeCell ref="J69:K69"/>
    <mergeCell ref="V69:W69"/>
    <mergeCell ref="S66:T66"/>
    <mergeCell ref="S67:T67"/>
    <mergeCell ref="S68:T68"/>
    <mergeCell ref="S69:T69"/>
    <mergeCell ref="G68:H68"/>
    <mergeCell ref="J68:K68"/>
    <mergeCell ref="V68:W68"/>
    <mergeCell ref="G66:H66"/>
    <mergeCell ref="P64:Q64"/>
    <mergeCell ref="P68:Q68"/>
    <mergeCell ref="P69:Q69"/>
    <mergeCell ref="P67:Q67"/>
    <mergeCell ref="S64:T64"/>
    <mergeCell ref="L55:N55"/>
    <mergeCell ref="J54:L54"/>
    <mergeCell ref="V61:W61"/>
    <mergeCell ref="V63:W63"/>
    <mergeCell ref="S63:T63"/>
    <mergeCell ref="P61:Q61"/>
    <mergeCell ref="P74:Q74"/>
    <mergeCell ref="S74:T74"/>
    <mergeCell ref="AA59:AB59"/>
    <mergeCell ref="G65:H65"/>
    <mergeCell ref="J65:K65"/>
    <mergeCell ref="M65:N65"/>
    <mergeCell ref="P65:Q65"/>
    <mergeCell ref="S65:T65"/>
    <mergeCell ref="V65:W65"/>
    <mergeCell ref="S70:T70"/>
    <mergeCell ref="G70:H70"/>
    <mergeCell ref="J70:K70"/>
    <mergeCell ref="V70:W70"/>
    <mergeCell ref="P70:Q70"/>
    <mergeCell ref="M64:N64"/>
    <mergeCell ref="M66:N66"/>
    <mergeCell ref="M67:N67"/>
    <mergeCell ref="M70:N70"/>
    <mergeCell ref="G67:H67"/>
    <mergeCell ref="J67:K67"/>
    <mergeCell ref="G71:H71"/>
    <mergeCell ref="J71:K71"/>
    <mergeCell ref="M71:N71"/>
    <mergeCell ref="V64:W64"/>
    <mergeCell ref="J75:K75"/>
    <mergeCell ref="M75:N75"/>
    <mergeCell ref="P75:Q75"/>
    <mergeCell ref="S75:T75"/>
    <mergeCell ref="V75:W75"/>
    <mergeCell ref="M76:N76"/>
    <mergeCell ref="P76:Q76"/>
    <mergeCell ref="S76:T76"/>
    <mergeCell ref="M77:N77"/>
    <mergeCell ref="S77:T77"/>
    <mergeCell ref="AJ86:AK86"/>
    <mergeCell ref="M78:N78"/>
    <mergeCell ref="P78:Q78"/>
    <mergeCell ref="S78:T78"/>
    <mergeCell ref="V78:W78"/>
    <mergeCell ref="G79:H79"/>
    <mergeCell ref="J79:K79"/>
    <mergeCell ref="M79:N79"/>
    <mergeCell ref="P79:Q79"/>
    <mergeCell ref="S79:T79"/>
    <mergeCell ref="V79:W79"/>
    <mergeCell ref="AJ85:AK85"/>
    <mergeCell ref="V82:W82"/>
    <mergeCell ref="G83:H83"/>
    <mergeCell ref="G84:H84"/>
    <mergeCell ref="J84:K84"/>
    <mergeCell ref="M84:N84"/>
    <mergeCell ref="G80:H80"/>
    <mergeCell ref="J80:K80"/>
    <mergeCell ref="M80:N80"/>
    <mergeCell ref="P80:Q80"/>
    <mergeCell ref="S80:T80"/>
    <mergeCell ref="V80:W80"/>
    <mergeCell ref="G81:H81"/>
    <mergeCell ref="J81:K81"/>
    <mergeCell ref="M81:N81"/>
    <mergeCell ref="P81:Q81"/>
    <mergeCell ref="S81:T81"/>
    <mergeCell ref="V81:W81"/>
    <mergeCell ref="D77:E77"/>
    <mergeCell ref="G85:H85"/>
    <mergeCell ref="J85:K85"/>
    <mergeCell ref="M85:N85"/>
    <mergeCell ref="P85:Q85"/>
    <mergeCell ref="S85:T85"/>
    <mergeCell ref="V85:W85"/>
    <mergeCell ref="G82:H82"/>
    <mergeCell ref="J82:K82"/>
    <mergeCell ref="M82:N82"/>
    <mergeCell ref="P82:Q82"/>
    <mergeCell ref="S82:T82"/>
    <mergeCell ref="G78:H78"/>
    <mergeCell ref="P71:Q71"/>
    <mergeCell ref="S71:T71"/>
    <mergeCell ref="V71:W71"/>
    <mergeCell ref="G73:H73"/>
    <mergeCell ref="J73:K73"/>
    <mergeCell ref="M73:N73"/>
    <mergeCell ref="P73:Q73"/>
    <mergeCell ref="S73:T73"/>
    <mergeCell ref="V73:W73"/>
    <mergeCell ref="S72:T72"/>
  </mergeCells>
  <conditionalFormatting sqref="F25:G25">
    <cfRule type="expression" dxfId="13" priority="76">
      <formula>$BV$38=1</formula>
    </cfRule>
    <cfRule type="expression" dxfId="12" priority="77">
      <formula>$BV$38=2</formula>
    </cfRule>
  </conditionalFormatting>
  <conditionalFormatting sqref="G17:H17">
    <cfRule type="expression" dxfId="11" priority="48">
      <formula>$BC$8&lt;3</formula>
    </cfRule>
  </conditionalFormatting>
  <conditionalFormatting sqref="G84:H84 J84:K84 M84:N84 P84:Q84 S84:T84 V84:W84">
    <cfRule type="expression" dxfId="10" priority="78">
      <formula>$AC$84&gt;0</formula>
    </cfRule>
  </conditionalFormatting>
  <conditionalFormatting sqref="H16">
    <cfRule type="expression" dxfId="9" priority="53">
      <formula>H15=""</formula>
    </cfRule>
  </conditionalFormatting>
  <conditionalFormatting sqref="I17:J17">
    <cfRule type="expression" dxfId="8" priority="42">
      <formula>$BC$8&lt;4</formula>
    </cfRule>
  </conditionalFormatting>
  <conditionalFormatting sqref="J16">
    <cfRule type="expression" dxfId="7" priority="39">
      <formula>J15=""</formula>
    </cfRule>
  </conditionalFormatting>
  <conditionalFormatting sqref="K17:L17">
    <cfRule type="expression" dxfId="6" priority="41">
      <formula>$BC$8&lt;5</formula>
    </cfRule>
  </conditionalFormatting>
  <conditionalFormatting sqref="L16">
    <cfRule type="expression" dxfId="5" priority="38">
      <formula>L15=""</formula>
    </cfRule>
  </conditionalFormatting>
  <conditionalFormatting sqref="M17:N17">
    <cfRule type="expression" dxfId="4" priority="40">
      <formula>$BC$8&lt;6</formula>
    </cfRule>
  </conditionalFormatting>
  <conditionalFormatting sqref="N16">
    <cfRule type="expression" dxfId="3" priority="37">
      <formula>N15=""</formula>
    </cfRule>
  </conditionalFormatting>
  <conditionalFormatting sqref="AA17:AA25">
    <cfRule type="cellIs" dxfId="2" priority="29" operator="equal">
      <formula>"X0-X0"</formula>
    </cfRule>
  </conditionalFormatting>
  <printOptions horizontalCentered="1"/>
  <pageMargins left="0.25" right="0.25" top="0.25" bottom="0.25" header="0.25" footer="0.25"/>
  <pageSetup paperSize="9" scale="115" fitToHeight="2" orientation="portrait" r:id="rId1"/>
  <headerFooter>
    <oddFooter>&amp;RTC_TSEA_V0.1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r:id="rId4" name="Drop Down 1">
              <controlPr locked="0" defaultSize="0" autoLine="0" autoPict="0">
                <anchor moveWithCells="1">
                  <from>
                    <xdr:col>3</xdr:col>
                    <xdr:colOff>28575</xdr:colOff>
                    <xdr:row>2</xdr:row>
                    <xdr:rowOff>19050</xdr:rowOff>
                  </from>
                  <to>
                    <xdr:col>8</xdr:col>
                    <xdr:colOff>200025</xdr:colOff>
                    <xdr:row>2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2" r:id="rId5" name="Drop Down 2">
              <controlPr locked="0" defaultSize="0" autoLine="0" autoPict="0">
                <anchor moveWithCells="1">
                  <from>
                    <xdr:col>8</xdr:col>
                    <xdr:colOff>19050</xdr:colOff>
                    <xdr:row>6</xdr:row>
                    <xdr:rowOff>9525</xdr:rowOff>
                  </from>
                  <to>
                    <xdr:col>10</xdr:col>
                    <xdr:colOff>219075</xdr:colOff>
                    <xdr:row>6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3" r:id="rId6" name="Drop Down 3">
              <controlPr locked="0" defaultSize="0" autoLine="0" autoPict="0">
                <anchor moveWithCells="1">
                  <from>
                    <xdr:col>12</xdr:col>
                    <xdr:colOff>28575</xdr:colOff>
                    <xdr:row>2</xdr:row>
                    <xdr:rowOff>19050</xdr:rowOff>
                  </from>
                  <to>
                    <xdr:col>14</xdr:col>
                    <xdr:colOff>219075</xdr:colOff>
                    <xdr:row>2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9" r:id="rId7" name="Drop Down 9">
              <controlPr locked="0" defaultSize="0" autoLine="0" autoPict="0">
                <anchor moveWithCells="1">
                  <from>
                    <xdr:col>3</xdr:col>
                    <xdr:colOff>28575</xdr:colOff>
                    <xdr:row>10</xdr:row>
                    <xdr:rowOff>19050</xdr:rowOff>
                  </from>
                  <to>
                    <xdr:col>5</xdr:col>
                    <xdr:colOff>219075</xdr:colOff>
                    <xdr:row>10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0" r:id="rId8" name="Drop Down 10">
              <controlPr locked="0" defaultSize="0" autoLine="0" autoPict="0">
                <anchor moveWithCells="1">
                  <from>
                    <xdr:col>9</xdr:col>
                    <xdr:colOff>28575</xdr:colOff>
                    <xdr:row>10</xdr:row>
                    <xdr:rowOff>19050</xdr:rowOff>
                  </from>
                  <to>
                    <xdr:col>10</xdr:col>
                    <xdr:colOff>228600</xdr:colOff>
                    <xdr:row>10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1" r:id="rId9" name="Drop Down 11">
              <controlPr locked="0" defaultSize="0" autoLine="0" autoPict="0">
                <anchor moveWithCells="1">
                  <from>
                    <xdr:col>3</xdr:col>
                    <xdr:colOff>28575</xdr:colOff>
                    <xdr:row>12</xdr:row>
                    <xdr:rowOff>19050</xdr:rowOff>
                  </from>
                  <to>
                    <xdr:col>5</xdr:col>
                    <xdr:colOff>209550</xdr:colOff>
                    <xdr:row>12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2" r:id="rId10" name="Drop Down 12">
              <controlPr locked="0" defaultSize="0" autoLine="0" autoPict="0">
                <anchor moveWithCells="1">
                  <from>
                    <xdr:col>8</xdr:col>
                    <xdr:colOff>28575</xdr:colOff>
                    <xdr:row>12</xdr:row>
                    <xdr:rowOff>19050</xdr:rowOff>
                  </from>
                  <to>
                    <xdr:col>9</xdr:col>
                    <xdr:colOff>238125</xdr:colOff>
                    <xdr:row>12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8" r:id="rId11" name="Drop Down 18">
              <controlPr locked="0" defaultSize="0" autoLine="0" autoPict="0">
                <anchor moveWithCells="1">
                  <from>
                    <xdr:col>21</xdr:col>
                    <xdr:colOff>28575</xdr:colOff>
                    <xdr:row>10</xdr:row>
                    <xdr:rowOff>19050</xdr:rowOff>
                  </from>
                  <to>
                    <xdr:col>23</xdr:col>
                    <xdr:colOff>209550</xdr:colOff>
                    <xdr:row>10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11" r:id="rId12" name="Drop Down 1323">
              <controlPr locked="0" defaultSize="0" autoLine="0" autoPict="0">
                <anchor moveWithCells="1">
                  <from>
                    <xdr:col>3</xdr:col>
                    <xdr:colOff>28575</xdr:colOff>
                    <xdr:row>8</xdr:row>
                    <xdr:rowOff>19050</xdr:rowOff>
                  </from>
                  <to>
                    <xdr:col>5</xdr:col>
                    <xdr:colOff>28575</xdr:colOff>
                    <xdr:row>8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43" r:id="rId13" name="Drop Down 1355">
              <controlPr locked="0" defaultSize="0" autoLine="0" autoPict="0">
                <anchor moveWithCells="1">
                  <from>
                    <xdr:col>5</xdr:col>
                    <xdr:colOff>219075</xdr:colOff>
                    <xdr:row>8</xdr:row>
                    <xdr:rowOff>19050</xdr:rowOff>
                  </from>
                  <to>
                    <xdr:col>8</xdr:col>
                    <xdr:colOff>57150</xdr:colOff>
                    <xdr:row>8</xdr:row>
                    <xdr:rowOff>219075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4F75B-C6A7-4258-8739-663BDD0A8E96}">
  <dimension ref="A1:J726"/>
  <sheetViews>
    <sheetView workbookViewId="0">
      <pane ySplit="1" topLeftCell="A26" activePane="bottomLeft" state="frozen"/>
      <selection pane="bottomLeft" activeCell="E1" sqref="E1"/>
    </sheetView>
  </sheetViews>
  <sheetFormatPr defaultRowHeight="16.5"/>
  <cols>
    <col min="1" max="6" width="12.7109375" style="212" customWidth="1"/>
  </cols>
  <sheetData>
    <row r="1" spans="1:6">
      <c r="A1" s="286" t="s">
        <v>128</v>
      </c>
      <c r="B1" s="286" t="s">
        <v>180</v>
      </c>
      <c r="C1" s="286" t="s">
        <v>634</v>
      </c>
      <c r="D1" s="286" t="s">
        <v>631</v>
      </c>
      <c r="E1" s="293" t="s">
        <v>643</v>
      </c>
      <c r="F1" s="286" t="s">
        <v>644</v>
      </c>
    </row>
    <row r="2" spans="1:6">
      <c r="A2" s="286" t="s">
        <v>635</v>
      </c>
      <c r="B2" s="286" t="s">
        <v>636</v>
      </c>
      <c r="C2" s="286">
        <v>50</v>
      </c>
      <c r="D2" s="286">
        <v>2</v>
      </c>
      <c r="E2" s="286">
        <v>1.4583330000000001</v>
      </c>
      <c r="F2" s="286">
        <v>1.1363639999999999</v>
      </c>
    </row>
    <row r="3" spans="1:6">
      <c r="A3" s="286" t="s">
        <v>635</v>
      </c>
      <c r="B3" s="286" t="s">
        <v>636</v>
      </c>
      <c r="C3" s="286">
        <v>50</v>
      </c>
      <c r="D3" s="286">
        <v>4</v>
      </c>
      <c r="E3" s="286">
        <v>1.625</v>
      </c>
      <c r="F3" s="286">
        <v>2.2727270000000002</v>
      </c>
    </row>
    <row r="4" spans="1:6">
      <c r="A4" s="286" t="s">
        <v>635</v>
      </c>
      <c r="B4" s="286" t="s">
        <v>636</v>
      </c>
      <c r="C4" s="286">
        <v>50</v>
      </c>
      <c r="D4" s="286">
        <v>6</v>
      </c>
      <c r="E4" s="286">
        <v>1.9166669999999999</v>
      </c>
      <c r="F4" s="286">
        <v>2.7272729999999998</v>
      </c>
    </row>
    <row r="5" spans="1:6">
      <c r="A5" s="286" t="s">
        <v>635</v>
      </c>
      <c r="B5" s="286" t="s">
        <v>636</v>
      </c>
      <c r="C5" s="286">
        <v>50</v>
      </c>
      <c r="D5" s="286">
        <v>8</v>
      </c>
      <c r="E5" s="286">
        <v>2.1666669999999999</v>
      </c>
      <c r="F5" s="286">
        <v>3.0909089999999999</v>
      </c>
    </row>
    <row r="6" spans="1:6">
      <c r="A6" s="286" t="s">
        <v>635</v>
      </c>
      <c r="B6" s="286" t="s">
        <v>636</v>
      </c>
      <c r="C6" s="286">
        <v>50</v>
      </c>
      <c r="D6" s="286">
        <v>10</v>
      </c>
      <c r="E6" s="286">
        <v>2.5</v>
      </c>
      <c r="F6" s="286">
        <v>3.1818179999999998</v>
      </c>
    </row>
    <row r="7" spans="1:6">
      <c r="A7" s="286" t="s">
        <v>635</v>
      </c>
      <c r="B7" s="286" t="s">
        <v>636</v>
      </c>
      <c r="C7" s="286">
        <v>50</v>
      </c>
      <c r="D7" s="286">
        <v>12</v>
      </c>
      <c r="E7" s="286">
        <v>2.6666669999999999</v>
      </c>
      <c r="F7" s="286">
        <v>3.2727270000000002</v>
      </c>
    </row>
    <row r="8" spans="1:6">
      <c r="A8" s="286" t="s">
        <v>635</v>
      </c>
      <c r="B8" s="286" t="s">
        <v>636</v>
      </c>
      <c r="C8" s="286">
        <v>50</v>
      </c>
      <c r="D8" s="286">
        <v>14</v>
      </c>
      <c r="E8" s="286">
        <v>3</v>
      </c>
      <c r="F8" s="286">
        <v>3.3636360000000001</v>
      </c>
    </row>
    <row r="9" spans="1:6">
      <c r="A9" s="286" t="s">
        <v>635</v>
      </c>
      <c r="B9" s="286" t="s">
        <v>636</v>
      </c>
      <c r="C9" s="286">
        <v>50</v>
      </c>
      <c r="D9" s="286">
        <v>16</v>
      </c>
      <c r="E9" s="286">
        <v>3.3333330000000001</v>
      </c>
      <c r="F9" s="286">
        <v>3.454545</v>
      </c>
    </row>
    <row r="10" spans="1:6">
      <c r="A10" s="286" t="s">
        <v>635</v>
      </c>
      <c r="B10" s="286" t="s">
        <v>636</v>
      </c>
      <c r="C10" s="286">
        <v>50</v>
      </c>
      <c r="D10" s="286">
        <v>18</v>
      </c>
      <c r="E10" s="286">
        <v>3.5833330000000001</v>
      </c>
      <c r="F10" s="286">
        <v>3.545455</v>
      </c>
    </row>
    <row r="11" spans="1:6">
      <c r="A11" s="286" t="s">
        <v>635</v>
      </c>
      <c r="B11" s="286" t="s">
        <v>636</v>
      </c>
      <c r="C11" s="286">
        <v>50</v>
      </c>
      <c r="D11" s="286">
        <v>20</v>
      </c>
      <c r="E11" s="286">
        <v>4.1666670000000003</v>
      </c>
      <c r="F11" s="286">
        <v>3.5909089999999999</v>
      </c>
    </row>
    <row r="12" spans="1:6">
      <c r="A12" s="286" t="s">
        <v>635</v>
      </c>
      <c r="B12" s="286" t="s">
        <v>636</v>
      </c>
      <c r="C12" s="286">
        <v>50</v>
      </c>
      <c r="D12" s="286">
        <v>22</v>
      </c>
      <c r="E12" s="286">
        <v>4.5</v>
      </c>
      <c r="F12" s="286">
        <v>3.6363639999999999</v>
      </c>
    </row>
    <row r="13" spans="1:6">
      <c r="A13" s="286" t="s">
        <v>635</v>
      </c>
      <c r="B13" s="286" t="s">
        <v>636</v>
      </c>
      <c r="C13" s="286">
        <v>50</v>
      </c>
      <c r="D13" s="286">
        <v>24</v>
      </c>
      <c r="E13" s="286">
        <v>5</v>
      </c>
      <c r="F13" s="286">
        <v>3.8181820000000002</v>
      </c>
    </row>
    <row r="14" spans="1:6">
      <c r="A14" s="286" t="s">
        <v>635</v>
      </c>
      <c r="B14" s="286" t="s">
        <v>636</v>
      </c>
      <c r="C14" s="286">
        <v>50</v>
      </c>
      <c r="D14" s="286">
        <v>25</v>
      </c>
      <c r="E14" s="286">
        <v>6.0833329999999997</v>
      </c>
      <c r="F14" s="286">
        <v>3.8636360000000001</v>
      </c>
    </row>
    <row r="15" spans="1:6">
      <c r="A15" s="286" t="s">
        <v>635</v>
      </c>
      <c r="B15" s="286" t="s">
        <v>636</v>
      </c>
      <c r="C15" s="286">
        <v>50</v>
      </c>
      <c r="D15" s="286">
        <v>26</v>
      </c>
      <c r="E15" s="286">
        <v>6.6666670000000003</v>
      </c>
      <c r="F15" s="286">
        <v>3.9090910000000001</v>
      </c>
    </row>
    <row r="16" spans="1:6">
      <c r="A16" s="286" t="s">
        <v>635</v>
      </c>
      <c r="B16" s="286" t="s">
        <v>636</v>
      </c>
      <c r="C16" s="286">
        <v>50</v>
      </c>
      <c r="D16" s="286">
        <v>28</v>
      </c>
      <c r="E16" s="286">
        <v>7.5</v>
      </c>
      <c r="F16" s="286">
        <v>4.0909089999999999</v>
      </c>
    </row>
    <row r="17" spans="1:6">
      <c r="A17" s="286" t="s">
        <v>635</v>
      </c>
      <c r="B17" s="286" t="s">
        <v>636</v>
      </c>
      <c r="C17" s="286">
        <v>50</v>
      </c>
      <c r="D17" s="286">
        <v>30</v>
      </c>
      <c r="E17" s="286">
        <v>8.3333329999999997</v>
      </c>
      <c r="F17" s="286">
        <v>4.2727269999999997</v>
      </c>
    </row>
    <row r="18" spans="1:6">
      <c r="A18" s="286" t="s">
        <v>635</v>
      </c>
      <c r="B18" s="286" t="s">
        <v>636</v>
      </c>
      <c r="C18" s="286">
        <v>50</v>
      </c>
      <c r="D18" s="286">
        <v>32</v>
      </c>
      <c r="E18" s="286">
        <v>10</v>
      </c>
      <c r="F18" s="286">
        <v>4.4545450000000004</v>
      </c>
    </row>
    <row r="19" spans="1:6">
      <c r="A19" s="286" t="s">
        <v>635</v>
      </c>
      <c r="B19" s="286" t="s">
        <v>636</v>
      </c>
      <c r="C19" s="286">
        <v>50</v>
      </c>
      <c r="D19" s="286">
        <v>34</v>
      </c>
      <c r="E19" s="286">
        <v>10.83333</v>
      </c>
      <c r="F19" s="286">
        <v>4.5454549999999996</v>
      </c>
    </row>
    <row r="20" spans="1:6">
      <c r="A20" s="286" t="s">
        <v>635</v>
      </c>
      <c r="B20" s="286" t="s">
        <v>636</v>
      </c>
      <c r="C20" s="286">
        <v>50</v>
      </c>
      <c r="D20" s="286">
        <v>36</v>
      </c>
      <c r="E20" s="286">
        <v>11.66667</v>
      </c>
      <c r="F20" s="286">
        <v>4.6363640000000004</v>
      </c>
    </row>
    <row r="21" spans="1:6">
      <c r="A21" s="286" t="s">
        <v>635</v>
      </c>
      <c r="B21" s="286" t="s">
        <v>636</v>
      </c>
      <c r="C21" s="286">
        <v>50</v>
      </c>
      <c r="D21" s="286">
        <v>38</v>
      </c>
      <c r="E21" s="286">
        <v>13.33333</v>
      </c>
      <c r="F21" s="286">
        <v>4.7272730000000003</v>
      </c>
    </row>
    <row r="22" spans="1:6">
      <c r="A22" s="286" t="s">
        <v>635</v>
      </c>
      <c r="B22" s="286" t="s">
        <v>636</v>
      </c>
      <c r="C22" s="286">
        <v>50</v>
      </c>
      <c r="D22" s="286">
        <v>40</v>
      </c>
      <c r="E22" s="286">
        <v>14.16667</v>
      </c>
      <c r="F22" s="286">
        <v>4.9090910000000001</v>
      </c>
    </row>
    <row r="23" spans="1:6">
      <c r="A23" s="286" t="s">
        <v>635</v>
      </c>
      <c r="B23" s="286" t="s">
        <v>636</v>
      </c>
      <c r="C23" s="286">
        <v>50</v>
      </c>
      <c r="D23" s="286">
        <v>42</v>
      </c>
      <c r="E23" s="286">
        <v>15</v>
      </c>
      <c r="F23" s="286">
        <v>5</v>
      </c>
    </row>
    <row r="24" spans="1:6">
      <c r="A24" s="286" t="s">
        <v>635</v>
      </c>
      <c r="B24" s="286" t="s">
        <v>636</v>
      </c>
      <c r="C24" s="286">
        <v>50</v>
      </c>
      <c r="D24" s="286">
        <v>44</v>
      </c>
      <c r="E24" s="286">
        <v>16.66667</v>
      </c>
      <c r="F24" s="286">
        <v>5.0909089999999999</v>
      </c>
    </row>
    <row r="25" spans="1:6">
      <c r="A25" s="286" t="s">
        <v>635</v>
      </c>
      <c r="B25" s="286" t="s">
        <v>636</v>
      </c>
      <c r="C25" s="286">
        <v>50</v>
      </c>
      <c r="D25" s="286">
        <v>46</v>
      </c>
      <c r="E25" s="286">
        <v>18.33333</v>
      </c>
      <c r="F25" s="286">
        <v>5.2727269999999997</v>
      </c>
    </row>
    <row r="26" spans="1:6">
      <c r="A26" s="286" t="s">
        <v>635</v>
      </c>
      <c r="B26" s="286" t="s">
        <v>636</v>
      </c>
      <c r="C26" s="286">
        <v>50</v>
      </c>
      <c r="D26" s="286">
        <v>48</v>
      </c>
      <c r="E26" s="286">
        <v>19.58333</v>
      </c>
      <c r="F26" s="286">
        <v>5.3181820000000002</v>
      </c>
    </row>
    <row r="27" spans="1:6">
      <c r="A27" s="286" t="s">
        <v>635</v>
      </c>
      <c r="B27" s="286" t="s">
        <v>636</v>
      </c>
      <c r="C27" s="286">
        <v>50</v>
      </c>
      <c r="D27" s="286">
        <v>50</v>
      </c>
      <c r="E27" s="286">
        <v>20.83333</v>
      </c>
      <c r="F27" s="286">
        <v>5.4545450000000004</v>
      </c>
    </row>
    <row r="28" spans="1:6">
      <c r="A28" s="286" t="s">
        <v>635</v>
      </c>
      <c r="B28" s="286" t="s">
        <v>636</v>
      </c>
      <c r="C28" s="286">
        <v>50</v>
      </c>
      <c r="D28" s="286">
        <v>52</v>
      </c>
      <c r="E28" s="286">
        <v>22.5</v>
      </c>
      <c r="F28" s="286">
        <v>5.4545450000000004</v>
      </c>
    </row>
    <row r="29" spans="1:6">
      <c r="A29" s="286" t="s">
        <v>635</v>
      </c>
      <c r="B29" s="286" t="s">
        <v>636</v>
      </c>
      <c r="C29" s="286">
        <v>50</v>
      </c>
      <c r="D29" s="286">
        <v>54</v>
      </c>
      <c r="E29" s="286">
        <v>24.16667</v>
      </c>
      <c r="F29" s="286">
        <v>5.6818179999999998</v>
      </c>
    </row>
    <row r="30" spans="1:6">
      <c r="A30" s="286" t="s">
        <v>635</v>
      </c>
      <c r="B30" s="286" t="s">
        <v>636</v>
      </c>
      <c r="C30" s="286">
        <v>50</v>
      </c>
      <c r="D30" s="286">
        <v>56</v>
      </c>
      <c r="E30" s="286">
        <v>25</v>
      </c>
      <c r="F30" s="286">
        <v>5.7272730000000003</v>
      </c>
    </row>
    <row r="31" spans="1:6">
      <c r="A31" s="286" t="s">
        <v>635</v>
      </c>
      <c r="B31" s="286" t="s">
        <v>636</v>
      </c>
      <c r="C31" s="286">
        <v>50</v>
      </c>
      <c r="D31" s="286">
        <v>58</v>
      </c>
      <c r="E31" s="286">
        <v>25.83333</v>
      </c>
      <c r="F31" s="286">
        <v>5.8181820000000002</v>
      </c>
    </row>
    <row r="32" spans="1:6">
      <c r="A32" s="286" t="s">
        <v>635</v>
      </c>
      <c r="B32" s="286" t="s">
        <v>636</v>
      </c>
      <c r="C32" s="286">
        <v>50</v>
      </c>
      <c r="D32" s="286">
        <v>60</v>
      </c>
      <c r="E32" s="286">
        <v>29.16667</v>
      </c>
      <c r="F32" s="286">
        <v>5.9090910000000001</v>
      </c>
    </row>
    <row r="33" spans="1:6">
      <c r="A33" s="286" t="s">
        <v>635</v>
      </c>
      <c r="B33" s="286" t="s">
        <v>636</v>
      </c>
      <c r="C33" s="286">
        <v>50</v>
      </c>
      <c r="D33" s="286">
        <v>62</v>
      </c>
      <c r="E33" s="286">
        <v>30</v>
      </c>
      <c r="F33" s="286">
        <v>6</v>
      </c>
    </row>
    <row r="34" spans="1:6">
      <c r="A34" s="286" t="s">
        <v>635</v>
      </c>
      <c r="B34" s="286" t="s">
        <v>636</v>
      </c>
      <c r="C34" s="286">
        <v>50</v>
      </c>
      <c r="D34" s="286">
        <v>64</v>
      </c>
      <c r="E34" s="286">
        <v>31.25</v>
      </c>
      <c r="F34" s="286">
        <v>6.0909089999999999</v>
      </c>
    </row>
    <row r="35" spans="1:6">
      <c r="A35" s="286" t="s">
        <v>635</v>
      </c>
      <c r="B35" s="286" t="s">
        <v>636</v>
      </c>
      <c r="C35" s="286">
        <v>50</v>
      </c>
      <c r="D35" s="286">
        <v>66</v>
      </c>
      <c r="E35" s="286">
        <v>33.333329999999997</v>
      </c>
      <c r="F35" s="286">
        <v>6.1363640000000004</v>
      </c>
    </row>
    <row r="36" spans="1:6">
      <c r="A36" s="286" t="s">
        <v>635</v>
      </c>
      <c r="B36" s="286" t="s">
        <v>636</v>
      </c>
      <c r="C36" s="286">
        <v>50</v>
      </c>
      <c r="D36" s="286">
        <v>68</v>
      </c>
      <c r="E36" s="286">
        <v>35.833329999999997</v>
      </c>
      <c r="F36" s="286">
        <v>6.2727269999999997</v>
      </c>
    </row>
    <row r="37" spans="1:6">
      <c r="A37" s="286" t="s">
        <v>635</v>
      </c>
      <c r="B37" s="286" t="s">
        <v>636</v>
      </c>
      <c r="C37" s="286">
        <v>50</v>
      </c>
      <c r="D37" s="286">
        <v>70</v>
      </c>
      <c r="E37" s="286">
        <v>38.75</v>
      </c>
      <c r="F37" s="286">
        <v>6.3636359999999996</v>
      </c>
    </row>
    <row r="38" spans="1:6">
      <c r="A38" s="286" t="s">
        <v>635</v>
      </c>
      <c r="B38" s="286" t="s">
        <v>636</v>
      </c>
      <c r="C38" s="286">
        <v>50</v>
      </c>
      <c r="D38" s="286">
        <v>72</v>
      </c>
      <c r="E38" s="286">
        <v>39.166670000000003</v>
      </c>
      <c r="F38" s="286">
        <v>6.4545450000000004</v>
      </c>
    </row>
    <row r="39" spans="1:6">
      <c r="A39" s="286" t="s">
        <v>635</v>
      </c>
      <c r="B39" s="286" t="s">
        <v>636</v>
      </c>
      <c r="C39" s="286">
        <v>50</v>
      </c>
      <c r="D39" s="286">
        <v>74</v>
      </c>
      <c r="E39" s="286">
        <v>41.666670000000003</v>
      </c>
      <c r="F39" s="286">
        <v>6.5454549999999996</v>
      </c>
    </row>
    <row r="40" spans="1:6">
      <c r="A40" s="286" t="s">
        <v>635</v>
      </c>
      <c r="B40" s="286" t="s">
        <v>636</v>
      </c>
      <c r="C40" s="286">
        <v>50</v>
      </c>
      <c r="D40" s="286">
        <v>76</v>
      </c>
      <c r="E40" s="286">
        <v>44.166670000000003</v>
      </c>
      <c r="F40" s="286">
        <v>6.6363640000000004</v>
      </c>
    </row>
    <row r="41" spans="1:6">
      <c r="A41" s="286" t="s">
        <v>635</v>
      </c>
      <c r="B41" s="286" t="s">
        <v>636</v>
      </c>
      <c r="C41" s="286">
        <v>50</v>
      </c>
      <c r="D41" s="286">
        <v>78</v>
      </c>
      <c r="E41" s="286">
        <v>45</v>
      </c>
      <c r="F41" s="286">
        <v>6.7272730000000003</v>
      </c>
    </row>
    <row r="42" spans="1:6">
      <c r="A42" s="286" t="s">
        <v>635</v>
      </c>
      <c r="B42" s="286" t="s">
        <v>636</v>
      </c>
      <c r="C42" s="286">
        <v>50</v>
      </c>
      <c r="D42" s="286">
        <v>80</v>
      </c>
      <c r="E42" s="286">
        <v>48.333329999999997</v>
      </c>
      <c r="F42" s="286">
        <v>6.8181820000000002</v>
      </c>
    </row>
    <row r="43" spans="1:6">
      <c r="A43" s="286" t="s">
        <v>635</v>
      </c>
      <c r="B43" s="286" t="s">
        <v>636</v>
      </c>
      <c r="C43" s="286">
        <v>50</v>
      </c>
      <c r="D43" s="286">
        <v>82</v>
      </c>
      <c r="E43" s="286">
        <v>50</v>
      </c>
      <c r="F43" s="286">
        <v>6.9090910000000001</v>
      </c>
    </row>
    <row r="44" spans="1:6">
      <c r="A44" s="286" t="s">
        <v>635</v>
      </c>
      <c r="B44" s="286" t="s">
        <v>636</v>
      </c>
      <c r="C44" s="286">
        <v>50</v>
      </c>
      <c r="D44" s="286">
        <v>84</v>
      </c>
      <c r="E44" s="286">
        <v>52.083329999999997</v>
      </c>
      <c r="F44" s="286">
        <v>7.1818179999999998</v>
      </c>
    </row>
    <row r="45" spans="1:6">
      <c r="A45" s="286" t="s">
        <v>635</v>
      </c>
      <c r="B45" s="286" t="s">
        <v>636</v>
      </c>
      <c r="C45" s="286">
        <v>50</v>
      </c>
      <c r="D45" s="286">
        <v>86</v>
      </c>
      <c r="E45" s="286">
        <v>54.166670000000003</v>
      </c>
      <c r="F45" s="286">
        <v>7.2272730000000003</v>
      </c>
    </row>
    <row r="46" spans="1:6">
      <c r="A46" s="286" t="s">
        <v>635</v>
      </c>
      <c r="B46" s="286" t="s">
        <v>636</v>
      </c>
      <c r="C46" s="286">
        <v>50</v>
      </c>
      <c r="D46" s="286">
        <v>88</v>
      </c>
      <c r="E46" s="286">
        <v>56.25</v>
      </c>
      <c r="F46" s="286">
        <v>7.2727269999999997</v>
      </c>
    </row>
    <row r="47" spans="1:6">
      <c r="A47" s="286" t="s">
        <v>635</v>
      </c>
      <c r="B47" s="286" t="s">
        <v>636</v>
      </c>
      <c r="C47" s="286">
        <v>50</v>
      </c>
      <c r="D47" s="286">
        <v>90</v>
      </c>
      <c r="E47" s="286">
        <v>58.333329999999997</v>
      </c>
      <c r="F47" s="286">
        <v>7.2727269999999997</v>
      </c>
    </row>
    <row r="48" spans="1:6">
      <c r="A48" s="286" t="s">
        <v>635</v>
      </c>
      <c r="B48" s="286" t="s">
        <v>636</v>
      </c>
      <c r="C48" s="286">
        <v>50</v>
      </c>
      <c r="D48" s="286">
        <v>92</v>
      </c>
      <c r="E48" s="286">
        <v>61.666670000000003</v>
      </c>
      <c r="F48" s="286">
        <v>7.2727269999999997</v>
      </c>
    </row>
    <row r="49" spans="1:6">
      <c r="A49" s="286" t="s">
        <v>635</v>
      </c>
      <c r="B49" s="286" t="s">
        <v>636</v>
      </c>
      <c r="C49" s="286">
        <v>50</v>
      </c>
      <c r="D49" s="286">
        <v>94</v>
      </c>
      <c r="E49" s="286">
        <v>64.166659999999993</v>
      </c>
      <c r="F49" s="286">
        <v>7.5454549999999996</v>
      </c>
    </row>
    <row r="50" spans="1:6">
      <c r="A50" s="286" t="s">
        <v>635</v>
      </c>
      <c r="B50" s="286" t="s">
        <v>636</v>
      </c>
      <c r="C50" s="286">
        <v>50</v>
      </c>
      <c r="D50" s="286">
        <v>96</v>
      </c>
      <c r="E50" s="286">
        <v>66.666659999999993</v>
      </c>
      <c r="F50" s="286">
        <v>7.6363640000000004</v>
      </c>
    </row>
    <row r="51" spans="1:6">
      <c r="A51" s="286" t="s">
        <v>635</v>
      </c>
      <c r="B51" s="286" t="s">
        <v>636</v>
      </c>
      <c r="C51" s="286">
        <v>50</v>
      </c>
      <c r="D51" s="286">
        <v>98</v>
      </c>
      <c r="E51" s="286">
        <v>70.833340000000007</v>
      </c>
      <c r="F51" s="286">
        <v>7.7272730000000003</v>
      </c>
    </row>
    <row r="52" spans="1:6">
      <c r="A52" s="286" t="s">
        <v>635</v>
      </c>
      <c r="B52" s="286" t="s">
        <v>636</v>
      </c>
      <c r="C52" s="286">
        <v>50</v>
      </c>
      <c r="D52" s="286">
        <v>100</v>
      </c>
      <c r="E52" s="286">
        <v>75</v>
      </c>
      <c r="F52" s="286">
        <v>7.8181820000000002</v>
      </c>
    </row>
    <row r="53" spans="1:6">
      <c r="A53" s="286" t="s">
        <v>635</v>
      </c>
      <c r="B53" s="286" t="s">
        <v>636</v>
      </c>
      <c r="C53" s="286">
        <v>50</v>
      </c>
      <c r="D53" s="286">
        <v>110</v>
      </c>
      <c r="E53" s="286">
        <v>83.333340000000007</v>
      </c>
      <c r="F53" s="286">
        <v>7.9090910000000001</v>
      </c>
    </row>
    <row r="54" spans="1:6">
      <c r="A54" s="286" t="s">
        <v>635</v>
      </c>
      <c r="B54" s="286" t="s">
        <v>636</v>
      </c>
      <c r="C54" s="286">
        <v>50</v>
      </c>
      <c r="D54" s="286">
        <v>120</v>
      </c>
      <c r="E54" s="286">
        <v>100</v>
      </c>
      <c r="F54" s="286">
        <v>8.4545460000000006</v>
      </c>
    </row>
    <row r="55" spans="1:6">
      <c r="A55" s="286" t="s">
        <v>635</v>
      </c>
      <c r="B55" s="286" t="s">
        <v>636</v>
      </c>
      <c r="C55" s="286">
        <v>50</v>
      </c>
      <c r="D55" s="286">
        <v>130</v>
      </c>
      <c r="E55" s="286">
        <v>116.66670000000001</v>
      </c>
      <c r="F55" s="286">
        <v>8.9090910000000001</v>
      </c>
    </row>
    <row r="56" spans="1:6">
      <c r="A56" s="286" t="s">
        <v>635</v>
      </c>
      <c r="B56" s="286" t="s">
        <v>636</v>
      </c>
      <c r="C56" s="286">
        <v>50</v>
      </c>
      <c r="D56" s="286">
        <v>140</v>
      </c>
      <c r="E56" s="286">
        <v>133.33330000000001</v>
      </c>
      <c r="F56" s="286">
        <v>9.0909089999999999</v>
      </c>
    </row>
    <row r="57" spans="1:6">
      <c r="A57" s="286" t="s">
        <v>635</v>
      </c>
      <c r="B57" s="286" t="s">
        <v>636</v>
      </c>
      <c r="C57" s="286">
        <v>50</v>
      </c>
      <c r="D57" s="286">
        <v>150</v>
      </c>
      <c r="E57" s="286">
        <v>150</v>
      </c>
      <c r="F57" s="286">
        <v>10</v>
      </c>
    </row>
    <row r="58" spans="1:6">
      <c r="A58" s="286" t="s">
        <v>635</v>
      </c>
      <c r="B58" s="286" t="s">
        <v>636</v>
      </c>
      <c r="C58" s="286">
        <v>50</v>
      </c>
      <c r="D58" s="286">
        <v>160</v>
      </c>
      <c r="E58" s="286">
        <v>158.33330000000001</v>
      </c>
      <c r="F58" s="286">
        <v>11.36364</v>
      </c>
    </row>
    <row r="59" spans="1:6">
      <c r="A59" s="286" t="s">
        <v>635</v>
      </c>
      <c r="B59" s="286" t="s">
        <v>636</v>
      </c>
      <c r="C59" s="286">
        <v>50</v>
      </c>
      <c r="D59" s="286">
        <v>170</v>
      </c>
      <c r="E59" s="286">
        <v>183.33330000000001</v>
      </c>
      <c r="F59" s="286">
        <v>11.81818</v>
      </c>
    </row>
    <row r="60" spans="1:6">
      <c r="A60" s="286" t="s">
        <v>635</v>
      </c>
      <c r="B60" s="286" t="s">
        <v>636</v>
      </c>
      <c r="C60" s="286">
        <v>50</v>
      </c>
      <c r="D60" s="286">
        <v>180</v>
      </c>
      <c r="E60" s="286">
        <v>212.5</v>
      </c>
      <c r="F60" s="286">
        <v>12.727270000000001</v>
      </c>
    </row>
    <row r="61" spans="1:6">
      <c r="A61" s="286" t="s">
        <v>635</v>
      </c>
      <c r="B61" s="286" t="s">
        <v>636</v>
      </c>
      <c r="C61" s="286">
        <v>50</v>
      </c>
      <c r="D61" s="286">
        <v>190</v>
      </c>
      <c r="E61" s="286">
        <v>225</v>
      </c>
      <c r="F61" s="286">
        <v>12.727270000000001</v>
      </c>
    </row>
    <row r="62" spans="1:6">
      <c r="A62" s="286" t="s">
        <v>635</v>
      </c>
      <c r="B62" s="286" t="s">
        <v>636</v>
      </c>
      <c r="C62" s="286">
        <v>50</v>
      </c>
      <c r="D62" s="286">
        <v>200</v>
      </c>
      <c r="E62" s="286">
        <v>250</v>
      </c>
      <c r="F62" s="286">
        <v>12.727270000000001</v>
      </c>
    </row>
    <row r="63" spans="1:6">
      <c r="A63" s="286" t="s">
        <v>635</v>
      </c>
      <c r="B63" s="286" t="s">
        <v>636</v>
      </c>
      <c r="C63" s="286">
        <v>50</v>
      </c>
      <c r="D63" s="286">
        <v>210</v>
      </c>
      <c r="E63" s="286">
        <v>270.83330000000001</v>
      </c>
      <c r="F63" s="286">
        <v>13.18182</v>
      </c>
    </row>
    <row r="64" spans="1:6">
      <c r="A64" s="286" t="s">
        <v>635</v>
      </c>
      <c r="B64" s="286" t="s">
        <v>636</v>
      </c>
      <c r="C64" s="286">
        <v>50</v>
      </c>
      <c r="D64" s="286">
        <v>220</v>
      </c>
      <c r="E64" s="286">
        <v>300</v>
      </c>
      <c r="F64" s="286">
        <v>13.63636</v>
      </c>
    </row>
    <row r="65" spans="1:6">
      <c r="A65" s="286" t="s">
        <v>635</v>
      </c>
      <c r="B65" s="286" t="s">
        <v>636</v>
      </c>
      <c r="C65" s="286">
        <v>50</v>
      </c>
      <c r="D65" s="286">
        <v>230</v>
      </c>
      <c r="E65" s="286">
        <v>333.33330000000001</v>
      </c>
      <c r="F65" s="286">
        <v>13.63636</v>
      </c>
    </row>
    <row r="66" spans="1:6">
      <c r="A66" s="286" t="s">
        <v>635</v>
      </c>
      <c r="B66" s="286" t="s">
        <v>636</v>
      </c>
      <c r="C66" s="286">
        <v>50</v>
      </c>
      <c r="D66" s="286">
        <v>240</v>
      </c>
      <c r="E66" s="286">
        <v>358.33330000000001</v>
      </c>
      <c r="F66" s="286">
        <v>14.090909999999999</v>
      </c>
    </row>
    <row r="67" spans="1:6">
      <c r="A67" s="286" t="s">
        <v>635</v>
      </c>
      <c r="B67" s="286" t="s">
        <v>636</v>
      </c>
      <c r="C67" s="286">
        <v>50</v>
      </c>
      <c r="D67" s="286">
        <v>250</v>
      </c>
      <c r="E67" s="286">
        <v>391.66669999999999</v>
      </c>
      <c r="F67" s="286">
        <v>14.545450000000001</v>
      </c>
    </row>
    <row r="68" spans="1:6">
      <c r="A68" s="286" t="s">
        <v>635</v>
      </c>
      <c r="B68" s="286" t="s">
        <v>636</v>
      </c>
      <c r="C68" s="286">
        <v>50</v>
      </c>
      <c r="D68" s="286">
        <v>260</v>
      </c>
      <c r="E68" s="286">
        <v>416.66669999999999</v>
      </c>
      <c r="F68" s="286">
        <v>15</v>
      </c>
    </row>
    <row r="69" spans="1:6">
      <c r="A69" s="286" t="s">
        <v>635</v>
      </c>
      <c r="B69" s="286" t="s">
        <v>636</v>
      </c>
      <c r="C69" s="286">
        <v>50</v>
      </c>
      <c r="D69" s="286">
        <v>270</v>
      </c>
      <c r="E69" s="286">
        <v>450</v>
      </c>
      <c r="F69" s="286">
        <v>15</v>
      </c>
    </row>
    <row r="70" spans="1:6">
      <c r="A70" s="286" t="s">
        <v>635</v>
      </c>
      <c r="B70" s="286" t="s">
        <v>636</v>
      </c>
      <c r="C70" s="286">
        <v>50</v>
      </c>
      <c r="D70" s="286">
        <v>280</v>
      </c>
      <c r="E70" s="286">
        <v>483.33330000000001</v>
      </c>
      <c r="F70" s="286">
        <v>15</v>
      </c>
    </row>
    <row r="71" spans="1:6">
      <c r="A71" s="286" t="s">
        <v>635</v>
      </c>
      <c r="B71" s="286" t="s">
        <v>636</v>
      </c>
      <c r="C71" s="286">
        <v>50</v>
      </c>
      <c r="D71" s="286">
        <v>290</v>
      </c>
      <c r="E71" s="286">
        <v>500</v>
      </c>
      <c r="F71" s="286">
        <v>15.454549999999999</v>
      </c>
    </row>
    <row r="72" spans="1:6">
      <c r="A72" s="286" t="s">
        <v>635</v>
      </c>
      <c r="B72" s="286" t="s">
        <v>636</v>
      </c>
      <c r="C72" s="286">
        <v>50</v>
      </c>
      <c r="D72" s="286">
        <v>300</v>
      </c>
      <c r="E72" s="286">
        <v>541.66669999999999</v>
      </c>
      <c r="F72" s="286">
        <v>15.454549999999999</v>
      </c>
    </row>
    <row r="73" spans="1:6">
      <c r="A73" s="286" t="s">
        <v>635</v>
      </c>
      <c r="B73" s="286" t="s">
        <v>636</v>
      </c>
      <c r="C73" s="286">
        <v>50</v>
      </c>
      <c r="D73" s="286">
        <v>320</v>
      </c>
      <c r="E73" s="286">
        <v>583.33330000000001</v>
      </c>
      <c r="F73" s="286">
        <v>15.454549999999999</v>
      </c>
    </row>
    <row r="74" spans="1:6">
      <c r="A74" s="286" t="s">
        <v>635</v>
      </c>
      <c r="B74" s="286" t="s">
        <v>636</v>
      </c>
      <c r="C74" s="286">
        <v>50</v>
      </c>
      <c r="D74" s="286">
        <v>340</v>
      </c>
      <c r="E74" s="286">
        <v>666.66669999999999</v>
      </c>
      <c r="F74" s="286">
        <v>15.454549999999999</v>
      </c>
    </row>
    <row r="75" spans="1:6">
      <c r="A75" s="286" t="s">
        <v>635</v>
      </c>
      <c r="B75" s="286" t="s">
        <v>636</v>
      </c>
      <c r="C75" s="286">
        <v>50</v>
      </c>
      <c r="D75" s="286">
        <v>360</v>
      </c>
      <c r="E75" s="286">
        <v>833.33330000000001</v>
      </c>
      <c r="F75" s="286">
        <v>16.36364</v>
      </c>
    </row>
    <row r="76" spans="1:6">
      <c r="A76" s="286" t="s">
        <v>635</v>
      </c>
      <c r="B76" s="286" t="s">
        <v>636</v>
      </c>
      <c r="C76" s="286">
        <v>50</v>
      </c>
      <c r="D76" s="286">
        <v>380</v>
      </c>
      <c r="E76" s="286">
        <v>916.66669999999999</v>
      </c>
      <c r="F76" s="286">
        <v>16.818180000000002</v>
      </c>
    </row>
    <row r="77" spans="1:6">
      <c r="A77" s="286" t="s">
        <v>635</v>
      </c>
      <c r="B77" s="286" t="s">
        <v>636</v>
      </c>
      <c r="C77" s="286">
        <v>50</v>
      </c>
      <c r="D77" s="286">
        <v>400</v>
      </c>
      <c r="E77" s="286">
        <v>1041.6669999999999</v>
      </c>
      <c r="F77" s="286">
        <v>17.272729999999999</v>
      </c>
    </row>
    <row r="78" spans="1:6">
      <c r="A78" s="286" t="s">
        <v>635</v>
      </c>
      <c r="B78" s="286" t="s">
        <v>636</v>
      </c>
      <c r="C78" s="286">
        <v>50</v>
      </c>
      <c r="D78" s="286">
        <v>420</v>
      </c>
      <c r="E78" s="286">
        <v>1166.6669999999999</v>
      </c>
      <c r="F78" s="286">
        <v>17.727270000000001</v>
      </c>
    </row>
    <row r="79" spans="1:6">
      <c r="A79" s="286" t="s">
        <v>635</v>
      </c>
      <c r="B79" s="286" t="s">
        <v>636</v>
      </c>
      <c r="C79" s="286">
        <v>50</v>
      </c>
      <c r="D79" s="286">
        <v>440</v>
      </c>
      <c r="E79" s="286">
        <v>1250</v>
      </c>
      <c r="F79" s="286">
        <v>18.181819999999998</v>
      </c>
    </row>
    <row r="80" spans="1:6">
      <c r="A80" s="286" t="s">
        <v>635</v>
      </c>
      <c r="B80" s="286" t="s">
        <v>636</v>
      </c>
      <c r="C80" s="286">
        <v>50</v>
      </c>
      <c r="D80" s="286">
        <v>460</v>
      </c>
      <c r="E80" s="286">
        <v>1333.3330000000001</v>
      </c>
      <c r="F80" s="286">
        <v>18.181819999999998</v>
      </c>
    </row>
    <row r="81" spans="1:6">
      <c r="A81" s="286" t="s">
        <v>635</v>
      </c>
      <c r="B81" s="286" t="s">
        <v>636</v>
      </c>
      <c r="C81" s="286">
        <v>50</v>
      </c>
      <c r="D81" s="286">
        <v>480</v>
      </c>
      <c r="E81" s="286">
        <v>1416.6669999999999</v>
      </c>
      <c r="F81" s="286">
        <v>19.090910000000001</v>
      </c>
    </row>
    <row r="82" spans="1:6">
      <c r="A82" s="286" t="s">
        <v>635</v>
      </c>
      <c r="B82" s="286" t="s">
        <v>636</v>
      </c>
      <c r="C82" s="286">
        <v>50</v>
      </c>
      <c r="D82" s="286">
        <v>500</v>
      </c>
      <c r="E82" s="286">
        <v>1541.6669999999999</v>
      </c>
      <c r="F82" s="286">
        <v>20</v>
      </c>
    </row>
    <row r="83" spans="1:6">
      <c r="A83" s="286" t="s">
        <v>635</v>
      </c>
      <c r="B83" s="286" t="s">
        <v>636</v>
      </c>
      <c r="C83" s="286">
        <v>50</v>
      </c>
      <c r="D83" s="286">
        <v>520</v>
      </c>
      <c r="E83" s="286">
        <v>1583.3330000000001</v>
      </c>
      <c r="F83" s="286">
        <v>20.454550000000001</v>
      </c>
    </row>
    <row r="84" spans="1:6">
      <c r="A84" s="286" t="s">
        <v>635</v>
      </c>
      <c r="B84" s="286" t="s">
        <v>636</v>
      </c>
      <c r="C84" s="286">
        <v>50</v>
      </c>
      <c r="D84" s="286">
        <v>540</v>
      </c>
      <c r="E84" s="286">
        <v>1666.6669999999999</v>
      </c>
      <c r="F84" s="286">
        <v>20.909089999999999</v>
      </c>
    </row>
    <row r="85" spans="1:6">
      <c r="A85" s="286" t="s">
        <v>635</v>
      </c>
      <c r="B85" s="286" t="s">
        <v>636</v>
      </c>
      <c r="C85" s="286">
        <v>50</v>
      </c>
      <c r="D85" s="286">
        <v>560</v>
      </c>
      <c r="E85" s="286">
        <v>2000</v>
      </c>
      <c r="F85" s="286">
        <v>21.818180000000002</v>
      </c>
    </row>
    <row r="86" spans="1:6">
      <c r="A86" s="286" t="s">
        <v>635</v>
      </c>
      <c r="B86" s="286" t="s">
        <v>636</v>
      </c>
      <c r="C86" s="286">
        <v>50</v>
      </c>
      <c r="D86" s="286">
        <v>580</v>
      </c>
      <c r="E86" s="286">
        <v>2041.6669999999999</v>
      </c>
      <c r="F86" s="286">
        <v>22.272729999999999</v>
      </c>
    </row>
    <row r="87" spans="1:6">
      <c r="A87" s="286" t="s">
        <v>635</v>
      </c>
      <c r="B87" s="286" t="s">
        <v>636</v>
      </c>
      <c r="C87" s="286">
        <v>50</v>
      </c>
      <c r="D87" s="286">
        <v>600</v>
      </c>
      <c r="E87" s="286">
        <v>2166.6669999999999</v>
      </c>
      <c r="F87" s="286">
        <v>22.727270000000001</v>
      </c>
    </row>
    <row r="88" spans="1:6">
      <c r="A88" s="286" t="s">
        <v>635</v>
      </c>
      <c r="B88" s="286" t="s">
        <v>636</v>
      </c>
      <c r="C88" s="286">
        <v>50</v>
      </c>
      <c r="D88" s="286">
        <v>620</v>
      </c>
      <c r="E88" s="286">
        <v>2250</v>
      </c>
      <c r="F88" s="286">
        <v>23.181819999999998</v>
      </c>
    </row>
    <row r="89" spans="1:6">
      <c r="A89" s="286" t="s">
        <v>635</v>
      </c>
      <c r="B89" s="286" t="s">
        <v>636</v>
      </c>
      <c r="C89" s="286">
        <v>50</v>
      </c>
      <c r="D89" s="286">
        <v>640</v>
      </c>
      <c r="E89" s="286">
        <v>2500</v>
      </c>
      <c r="F89" s="286">
        <v>23.63636</v>
      </c>
    </row>
    <row r="90" spans="1:6">
      <c r="A90" s="286" t="s">
        <v>635</v>
      </c>
      <c r="B90" s="286" t="s">
        <v>636</v>
      </c>
      <c r="C90" s="286">
        <v>50</v>
      </c>
      <c r="D90" s="286">
        <v>660</v>
      </c>
      <c r="E90" s="286">
        <v>2583.3330000000001</v>
      </c>
      <c r="F90" s="286">
        <v>23.63636</v>
      </c>
    </row>
    <row r="91" spans="1:6">
      <c r="A91" s="286" t="s">
        <v>635</v>
      </c>
      <c r="B91" s="286" t="s">
        <v>636</v>
      </c>
      <c r="C91" s="286">
        <v>50</v>
      </c>
      <c r="D91" s="286">
        <v>680</v>
      </c>
      <c r="E91" s="286">
        <v>2833.3330000000001</v>
      </c>
      <c r="F91" s="286">
        <v>24.090910000000001</v>
      </c>
    </row>
    <row r="92" spans="1:6">
      <c r="A92" s="286" t="s">
        <v>635</v>
      </c>
      <c r="B92" s="286" t="s">
        <v>636</v>
      </c>
      <c r="C92" s="286">
        <v>50</v>
      </c>
      <c r="D92" s="286">
        <v>700</v>
      </c>
      <c r="E92" s="286">
        <v>3000</v>
      </c>
      <c r="F92" s="286">
        <v>24.545449999999999</v>
      </c>
    </row>
    <row r="93" spans="1:6">
      <c r="A93" s="286" t="s">
        <v>635</v>
      </c>
      <c r="B93" s="286" t="s">
        <v>636</v>
      </c>
      <c r="C93" s="286">
        <v>50</v>
      </c>
      <c r="D93" s="286">
        <v>720</v>
      </c>
      <c r="E93" s="286">
        <v>3125</v>
      </c>
      <c r="F93" s="286">
        <v>24.545449999999999</v>
      </c>
    </row>
    <row r="94" spans="1:6">
      <c r="A94" s="286" t="s">
        <v>635</v>
      </c>
      <c r="B94" s="286" t="s">
        <v>636</v>
      </c>
      <c r="C94" s="286">
        <v>50</v>
      </c>
      <c r="D94" s="286">
        <v>740</v>
      </c>
      <c r="E94" s="286">
        <v>3250</v>
      </c>
      <c r="F94" s="286">
        <v>25.454550000000001</v>
      </c>
    </row>
    <row r="95" spans="1:6">
      <c r="A95" s="286" t="s">
        <v>635</v>
      </c>
      <c r="B95" s="286" t="s">
        <v>636</v>
      </c>
      <c r="C95" s="286">
        <v>50</v>
      </c>
      <c r="D95" s="286">
        <v>760</v>
      </c>
      <c r="E95" s="286">
        <v>3333.3330000000001</v>
      </c>
      <c r="F95" s="286">
        <v>25.454550000000001</v>
      </c>
    </row>
    <row r="96" spans="1:6">
      <c r="A96" s="286" t="s">
        <v>635</v>
      </c>
      <c r="B96" s="286" t="s">
        <v>636</v>
      </c>
      <c r="C96" s="286">
        <v>50</v>
      </c>
      <c r="D96" s="286">
        <v>780</v>
      </c>
      <c r="E96" s="286">
        <v>3583.3330000000001</v>
      </c>
      <c r="F96" s="286">
        <v>25.454550000000001</v>
      </c>
    </row>
    <row r="97" spans="1:6">
      <c r="A97" s="286" t="s">
        <v>635</v>
      </c>
      <c r="B97" s="286" t="s">
        <v>636</v>
      </c>
      <c r="C97" s="286">
        <v>50</v>
      </c>
      <c r="D97" s="286">
        <v>800</v>
      </c>
      <c r="E97" s="286">
        <v>3833.3330000000001</v>
      </c>
      <c r="F97" s="286">
        <v>25.909089999999999</v>
      </c>
    </row>
    <row r="98" spans="1:6">
      <c r="A98" s="286" t="s">
        <v>635</v>
      </c>
      <c r="B98" s="286" t="s">
        <v>636</v>
      </c>
      <c r="C98" s="286">
        <v>50</v>
      </c>
      <c r="D98" s="286">
        <v>820</v>
      </c>
      <c r="E98" s="286">
        <v>4000</v>
      </c>
      <c r="F98" s="286">
        <v>25.909089999999999</v>
      </c>
    </row>
    <row r="99" spans="1:6">
      <c r="A99" s="286" t="s">
        <v>635</v>
      </c>
      <c r="B99" s="286" t="s">
        <v>636</v>
      </c>
      <c r="C99" s="286">
        <v>50</v>
      </c>
      <c r="D99" s="286">
        <v>840</v>
      </c>
      <c r="E99" s="286">
        <v>4166.6670000000004</v>
      </c>
      <c r="F99" s="286">
        <v>26.36364</v>
      </c>
    </row>
    <row r="100" spans="1:6">
      <c r="A100" s="286" t="s">
        <v>635</v>
      </c>
      <c r="B100" s="286" t="s">
        <v>636</v>
      </c>
      <c r="C100" s="286">
        <v>50</v>
      </c>
      <c r="D100" s="286">
        <v>860</v>
      </c>
      <c r="E100" s="286">
        <v>4333.3329999999996</v>
      </c>
      <c r="F100" s="286">
        <v>26.818180000000002</v>
      </c>
    </row>
    <row r="101" spans="1:6">
      <c r="A101" s="286" t="s">
        <v>635</v>
      </c>
      <c r="B101" s="286" t="s">
        <v>636</v>
      </c>
      <c r="C101" s="286">
        <v>50</v>
      </c>
      <c r="D101" s="286">
        <v>880</v>
      </c>
      <c r="E101" s="286">
        <v>4500</v>
      </c>
      <c r="F101" s="286">
        <v>27.272729999999999</v>
      </c>
    </row>
    <row r="102" spans="1:6">
      <c r="A102" s="286" t="s">
        <v>635</v>
      </c>
      <c r="B102" s="286" t="s">
        <v>636</v>
      </c>
      <c r="C102" s="286">
        <v>50</v>
      </c>
      <c r="D102" s="286">
        <v>900</v>
      </c>
      <c r="E102" s="286">
        <v>4833.3329999999996</v>
      </c>
      <c r="F102" s="286">
        <v>28.63636</v>
      </c>
    </row>
    <row r="103" spans="1:6">
      <c r="A103" s="286" t="s">
        <v>635</v>
      </c>
      <c r="B103" s="286" t="s">
        <v>636</v>
      </c>
      <c r="C103" s="286">
        <v>50</v>
      </c>
      <c r="D103" s="286">
        <v>920</v>
      </c>
      <c r="E103" s="286">
        <v>5000</v>
      </c>
      <c r="F103" s="286">
        <v>28.63636</v>
      </c>
    </row>
    <row r="104" spans="1:6">
      <c r="A104" s="286" t="s">
        <v>635</v>
      </c>
      <c r="B104" s="286" t="s">
        <v>636</v>
      </c>
      <c r="C104" s="286">
        <v>50</v>
      </c>
      <c r="D104" s="286">
        <v>940</v>
      </c>
      <c r="E104" s="286">
        <v>5416.6670000000004</v>
      </c>
      <c r="F104" s="286">
        <v>29.090910000000001</v>
      </c>
    </row>
    <row r="105" spans="1:6">
      <c r="A105" s="286" t="s">
        <v>635</v>
      </c>
      <c r="B105" s="286" t="s">
        <v>636</v>
      </c>
      <c r="C105" s="286">
        <v>50</v>
      </c>
      <c r="D105" s="286">
        <v>960</v>
      </c>
      <c r="E105" s="286">
        <v>5583.3329999999996</v>
      </c>
      <c r="F105" s="286">
        <v>29.545449999999999</v>
      </c>
    </row>
    <row r="106" spans="1:6">
      <c r="A106" s="286" t="s">
        <v>635</v>
      </c>
      <c r="B106" s="286" t="s">
        <v>636</v>
      </c>
      <c r="C106" s="286">
        <v>50</v>
      </c>
      <c r="D106" s="286">
        <v>980</v>
      </c>
      <c r="E106" s="286">
        <v>5750</v>
      </c>
      <c r="F106" s="286">
        <v>30</v>
      </c>
    </row>
    <row r="107" spans="1:6">
      <c r="A107" s="286" t="s">
        <v>635</v>
      </c>
      <c r="B107" s="286" t="s">
        <v>636</v>
      </c>
      <c r="C107" s="286">
        <v>50</v>
      </c>
      <c r="D107" s="286">
        <v>1000</v>
      </c>
      <c r="E107" s="286">
        <v>5833.3329999999996</v>
      </c>
      <c r="F107" s="286">
        <v>30.909089999999999</v>
      </c>
    </row>
    <row r="108" spans="1:6">
      <c r="A108" s="286" t="s">
        <v>635</v>
      </c>
      <c r="B108" s="286" t="s">
        <v>636</v>
      </c>
      <c r="C108" s="286">
        <v>50</v>
      </c>
      <c r="D108" s="286">
        <v>1100</v>
      </c>
      <c r="E108" s="286">
        <v>6916.6670000000004</v>
      </c>
      <c r="F108" s="286">
        <v>31.36364</v>
      </c>
    </row>
    <row r="109" spans="1:6">
      <c r="A109" s="286" t="s">
        <v>635</v>
      </c>
      <c r="B109" s="286" t="s">
        <v>636</v>
      </c>
      <c r="C109" s="286">
        <v>50</v>
      </c>
      <c r="D109" s="286">
        <v>1200</v>
      </c>
      <c r="E109" s="286">
        <v>7500</v>
      </c>
      <c r="F109" s="286">
        <v>32.727269999999997</v>
      </c>
    </row>
    <row r="110" spans="1:6">
      <c r="A110" s="286" t="s">
        <v>635</v>
      </c>
      <c r="B110" s="286" t="s">
        <v>636</v>
      </c>
      <c r="C110" s="286">
        <v>50</v>
      </c>
      <c r="D110" s="286">
        <v>1300</v>
      </c>
      <c r="E110" s="286">
        <v>10000</v>
      </c>
      <c r="F110" s="286">
        <v>34.090910000000001</v>
      </c>
    </row>
    <row r="111" spans="1:6">
      <c r="A111" s="286" t="s">
        <v>635</v>
      </c>
      <c r="B111" s="286" t="s">
        <v>636</v>
      </c>
      <c r="C111" s="286">
        <v>50</v>
      </c>
      <c r="D111" s="286">
        <v>1400</v>
      </c>
      <c r="E111" s="286">
        <v>11666.67</v>
      </c>
      <c r="F111" s="286">
        <v>35.454540000000001</v>
      </c>
    </row>
    <row r="112" spans="1:6">
      <c r="A112" s="286" t="s">
        <v>635</v>
      </c>
      <c r="B112" s="286" t="s">
        <v>636</v>
      </c>
      <c r="C112" s="286">
        <v>50</v>
      </c>
      <c r="D112" s="286">
        <v>1500</v>
      </c>
      <c r="E112" s="286">
        <v>13333.33</v>
      </c>
      <c r="F112" s="286">
        <v>36.363639999999997</v>
      </c>
    </row>
    <row r="113" spans="1:6">
      <c r="A113" s="286" t="s">
        <v>635</v>
      </c>
      <c r="B113" s="286" t="s">
        <v>636</v>
      </c>
      <c r="C113" s="286">
        <v>50</v>
      </c>
      <c r="D113" s="286">
        <v>1600</v>
      </c>
      <c r="E113" s="286">
        <v>15000</v>
      </c>
      <c r="F113" s="286">
        <v>38.181820000000002</v>
      </c>
    </row>
    <row r="114" spans="1:6">
      <c r="A114" s="286" t="s">
        <v>635</v>
      </c>
      <c r="B114" s="286" t="s">
        <v>636</v>
      </c>
      <c r="C114" s="286">
        <v>50</v>
      </c>
      <c r="D114" s="286">
        <v>1700</v>
      </c>
      <c r="E114" s="286">
        <v>16666.669999999998</v>
      </c>
      <c r="F114" s="286">
        <v>39.090910000000001</v>
      </c>
    </row>
    <row r="115" spans="1:6">
      <c r="A115" s="286" t="s">
        <v>635</v>
      </c>
      <c r="B115" s="286" t="s">
        <v>636</v>
      </c>
      <c r="C115" s="286">
        <v>50</v>
      </c>
      <c r="D115" s="286">
        <v>1800</v>
      </c>
      <c r="E115" s="286">
        <v>19166.669999999998</v>
      </c>
      <c r="F115" s="286">
        <v>40.909089999999999</v>
      </c>
    </row>
    <row r="116" spans="1:6">
      <c r="A116" s="286" t="s">
        <v>635</v>
      </c>
      <c r="B116" s="286" t="s">
        <v>636</v>
      </c>
      <c r="C116" s="286">
        <v>50</v>
      </c>
      <c r="D116" s="286">
        <v>1900</v>
      </c>
      <c r="E116" s="286">
        <v>20833.330000000002</v>
      </c>
      <c r="F116" s="286">
        <v>42.727269999999997</v>
      </c>
    </row>
    <row r="117" spans="1:6">
      <c r="A117" s="286" t="s">
        <v>635</v>
      </c>
      <c r="B117" s="286" t="s">
        <v>636</v>
      </c>
      <c r="C117" s="286">
        <v>50</v>
      </c>
      <c r="D117" s="286">
        <v>2000</v>
      </c>
      <c r="E117" s="286">
        <v>24166.67</v>
      </c>
      <c r="F117" s="286">
        <v>43.636360000000003</v>
      </c>
    </row>
    <row r="118" spans="1:6">
      <c r="A118" s="286" t="s">
        <v>635</v>
      </c>
      <c r="B118" s="286" t="s">
        <v>636</v>
      </c>
      <c r="C118" s="286">
        <v>50</v>
      </c>
      <c r="D118" s="286">
        <v>2100</v>
      </c>
      <c r="E118" s="286">
        <v>25000</v>
      </c>
      <c r="F118" s="286">
        <v>44.090910000000001</v>
      </c>
    </row>
    <row r="119" spans="1:6">
      <c r="A119" s="286" t="s">
        <v>635</v>
      </c>
      <c r="B119" s="286" t="s">
        <v>636</v>
      </c>
      <c r="C119" s="286">
        <v>50</v>
      </c>
      <c r="D119" s="286">
        <v>2200</v>
      </c>
      <c r="E119" s="286">
        <v>27500</v>
      </c>
      <c r="F119" s="286">
        <v>45.454540000000001</v>
      </c>
    </row>
    <row r="120" spans="1:6">
      <c r="A120" s="286" t="s">
        <v>635</v>
      </c>
      <c r="B120" s="286" t="s">
        <v>636</v>
      </c>
      <c r="C120" s="286">
        <v>50</v>
      </c>
      <c r="D120" s="286">
        <v>2300</v>
      </c>
      <c r="E120" s="286">
        <v>30000</v>
      </c>
      <c r="F120" s="286">
        <v>47.272730000000003</v>
      </c>
    </row>
    <row r="121" spans="1:6">
      <c r="A121" s="286" t="s">
        <v>635</v>
      </c>
      <c r="B121" s="286" t="s">
        <v>636</v>
      </c>
      <c r="C121" s="286">
        <v>50</v>
      </c>
      <c r="D121" s="286">
        <v>2400</v>
      </c>
      <c r="E121" s="286">
        <v>33333.33</v>
      </c>
      <c r="F121" s="286">
        <v>48.181820000000002</v>
      </c>
    </row>
    <row r="122" spans="1:6">
      <c r="A122" s="286" t="s">
        <v>635</v>
      </c>
      <c r="B122" s="286" t="s">
        <v>636</v>
      </c>
      <c r="C122" s="286">
        <v>50</v>
      </c>
      <c r="D122" s="286">
        <v>2500</v>
      </c>
      <c r="E122" s="286">
        <v>37500</v>
      </c>
      <c r="F122" s="286">
        <v>49.090910000000001</v>
      </c>
    </row>
    <row r="123" spans="1:6">
      <c r="A123" s="286" t="s">
        <v>635</v>
      </c>
      <c r="B123" s="286" t="s">
        <v>636</v>
      </c>
      <c r="C123" s="286">
        <v>50</v>
      </c>
      <c r="D123" s="286">
        <v>2600</v>
      </c>
      <c r="E123" s="286">
        <v>40833.33</v>
      </c>
      <c r="F123" s="286">
        <v>50</v>
      </c>
    </row>
    <row r="124" spans="1:6">
      <c r="A124" s="286" t="s">
        <v>635</v>
      </c>
      <c r="B124" s="286" t="s">
        <v>636</v>
      </c>
      <c r="C124" s="286">
        <v>50</v>
      </c>
      <c r="D124" s="286">
        <v>2700</v>
      </c>
      <c r="E124" s="286">
        <v>43333.33</v>
      </c>
      <c r="F124" s="286">
        <v>50.909089999999999</v>
      </c>
    </row>
    <row r="125" spans="1:6">
      <c r="A125" s="286" t="s">
        <v>635</v>
      </c>
      <c r="B125" s="286" t="s">
        <v>636</v>
      </c>
      <c r="C125" s="286">
        <v>50</v>
      </c>
      <c r="D125" s="286">
        <v>2800</v>
      </c>
      <c r="E125" s="286">
        <v>46666.67</v>
      </c>
      <c r="F125" s="286">
        <v>52.727269999999997</v>
      </c>
    </row>
    <row r="126" spans="1:6">
      <c r="A126" s="286" t="s">
        <v>635</v>
      </c>
      <c r="B126" s="286" t="s">
        <v>636</v>
      </c>
      <c r="C126" s="286">
        <v>50</v>
      </c>
      <c r="D126" s="286">
        <v>2900</v>
      </c>
      <c r="E126" s="286">
        <v>50000</v>
      </c>
      <c r="F126" s="286">
        <v>53.636360000000003</v>
      </c>
    </row>
    <row r="127" spans="1:6">
      <c r="A127" s="286" t="s">
        <v>635</v>
      </c>
      <c r="B127" s="286" t="s">
        <v>636</v>
      </c>
      <c r="C127" s="286">
        <v>50</v>
      </c>
      <c r="D127" s="286">
        <v>3000</v>
      </c>
      <c r="E127" s="286">
        <v>53333.33</v>
      </c>
      <c r="F127" s="286">
        <v>54.545459999999999</v>
      </c>
    </row>
    <row r="128" spans="1:6">
      <c r="A128" s="286" t="s">
        <v>635</v>
      </c>
      <c r="B128" s="286" t="s">
        <v>636</v>
      </c>
      <c r="C128" s="286">
        <v>50</v>
      </c>
      <c r="D128" s="286">
        <v>3200</v>
      </c>
      <c r="E128" s="286">
        <v>58333.33</v>
      </c>
      <c r="F128" s="286">
        <v>57.272730000000003</v>
      </c>
    </row>
    <row r="129" spans="1:6">
      <c r="A129" s="286" t="s">
        <v>635</v>
      </c>
      <c r="B129" s="286" t="s">
        <v>636</v>
      </c>
      <c r="C129" s="286">
        <v>50</v>
      </c>
      <c r="D129" s="286">
        <v>3400</v>
      </c>
      <c r="E129" s="286">
        <v>65833.34</v>
      </c>
      <c r="F129" s="286">
        <v>60</v>
      </c>
    </row>
    <row r="130" spans="1:6">
      <c r="A130" s="286" t="s">
        <v>635</v>
      </c>
      <c r="B130" s="286" t="s">
        <v>636</v>
      </c>
      <c r="C130" s="286">
        <v>50</v>
      </c>
      <c r="D130" s="286">
        <v>3600</v>
      </c>
      <c r="E130" s="286">
        <v>75000</v>
      </c>
      <c r="F130" s="286">
        <v>61.818179999999998</v>
      </c>
    </row>
    <row r="131" spans="1:6">
      <c r="A131" s="286" t="s">
        <v>635</v>
      </c>
      <c r="B131" s="286" t="s">
        <v>636</v>
      </c>
      <c r="C131" s="286">
        <v>50</v>
      </c>
      <c r="D131" s="286">
        <v>3800</v>
      </c>
      <c r="E131" s="286">
        <v>80000</v>
      </c>
      <c r="F131" s="286">
        <v>63.636360000000003</v>
      </c>
    </row>
    <row r="132" spans="1:6">
      <c r="A132" s="286" t="s">
        <v>635</v>
      </c>
      <c r="B132" s="286" t="s">
        <v>636</v>
      </c>
      <c r="C132" s="286">
        <v>50</v>
      </c>
      <c r="D132" s="286">
        <v>4000</v>
      </c>
      <c r="E132" s="286">
        <v>83333.34</v>
      </c>
      <c r="F132" s="286">
        <v>66.363640000000004</v>
      </c>
    </row>
    <row r="133" spans="1:6">
      <c r="A133" s="286" t="s">
        <v>635</v>
      </c>
      <c r="B133" s="286" t="s">
        <v>636</v>
      </c>
      <c r="C133" s="286">
        <v>50</v>
      </c>
      <c r="D133" s="286">
        <v>4200</v>
      </c>
      <c r="E133" s="286">
        <v>85000</v>
      </c>
      <c r="F133" s="286">
        <v>68.181820000000002</v>
      </c>
    </row>
    <row r="134" spans="1:6">
      <c r="A134" s="286" t="s">
        <v>635</v>
      </c>
      <c r="B134" s="286" t="s">
        <v>636</v>
      </c>
      <c r="C134" s="286">
        <v>50</v>
      </c>
      <c r="D134" s="286">
        <v>4400</v>
      </c>
      <c r="E134" s="286">
        <v>86666.66</v>
      </c>
      <c r="F134" s="286">
        <v>70</v>
      </c>
    </row>
    <row r="135" spans="1:6">
      <c r="A135" s="286" t="s">
        <v>635</v>
      </c>
      <c r="B135" s="286" t="s">
        <v>636</v>
      </c>
      <c r="C135" s="286">
        <v>50</v>
      </c>
      <c r="D135" s="286">
        <v>4600</v>
      </c>
      <c r="E135" s="286">
        <v>89166.66</v>
      </c>
      <c r="F135" s="286">
        <v>72.727270000000004</v>
      </c>
    </row>
    <row r="136" spans="1:6">
      <c r="A136" s="286" t="s">
        <v>635</v>
      </c>
      <c r="B136" s="286" t="s">
        <v>636</v>
      </c>
      <c r="C136" s="286">
        <v>50</v>
      </c>
      <c r="D136" s="286">
        <v>4800</v>
      </c>
      <c r="E136" s="286">
        <v>90833.34</v>
      </c>
      <c r="F136" s="286">
        <v>76.363640000000004</v>
      </c>
    </row>
    <row r="137" spans="1:6">
      <c r="A137" s="286" t="s">
        <v>635</v>
      </c>
      <c r="B137" s="286" t="s">
        <v>636</v>
      </c>
      <c r="C137" s="286">
        <v>50</v>
      </c>
      <c r="D137" s="286">
        <v>5000</v>
      </c>
      <c r="E137" s="286">
        <v>91666.66</v>
      </c>
      <c r="F137" s="286">
        <v>78.181820000000002</v>
      </c>
    </row>
    <row r="138" spans="1:6">
      <c r="A138" s="286" t="s">
        <v>635</v>
      </c>
      <c r="B138" s="286" t="s">
        <v>636</v>
      </c>
      <c r="C138" s="286">
        <v>50</v>
      </c>
      <c r="D138" s="286">
        <v>5200</v>
      </c>
      <c r="E138" s="286">
        <v>100000</v>
      </c>
      <c r="F138" s="286">
        <v>81.818179999999998</v>
      </c>
    </row>
    <row r="139" spans="1:6">
      <c r="A139" s="286" t="s">
        <v>635</v>
      </c>
      <c r="B139" s="286" t="s">
        <v>636</v>
      </c>
      <c r="C139" s="286">
        <v>50</v>
      </c>
      <c r="D139" s="286">
        <v>5400</v>
      </c>
      <c r="E139" s="286">
        <v>116666.7</v>
      </c>
      <c r="F139" s="286">
        <v>83.636359999999996</v>
      </c>
    </row>
    <row r="140" spans="1:6">
      <c r="A140" s="286" t="s">
        <v>635</v>
      </c>
      <c r="B140" s="286" t="s">
        <v>636</v>
      </c>
      <c r="C140" s="286">
        <v>50</v>
      </c>
      <c r="D140" s="286">
        <v>5600</v>
      </c>
      <c r="E140" s="286">
        <v>133333.29999999999</v>
      </c>
      <c r="F140" s="286">
        <v>85.454539999999994</v>
      </c>
    </row>
    <row r="141" spans="1:6">
      <c r="A141" s="286" t="s">
        <v>635</v>
      </c>
      <c r="B141" s="286" t="s">
        <v>636</v>
      </c>
      <c r="C141" s="286">
        <v>50</v>
      </c>
      <c r="D141" s="286">
        <v>5800</v>
      </c>
      <c r="E141" s="286">
        <v>150000</v>
      </c>
      <c r="F141" s="286">
        <v>87.272729999999996</v>
      </c>
    </row>
    <row r="142" spans="1:6">
      <c r="A142" s="286" t="s">
        <v>635</v>
      </c>
      <c r="B142" s="286" t="s">
        <v>636</v>
      </c>
      <c r="C142" s="286">
        <v>50</v>
      </c>
      <c r="D142" s="286">
        <v>6000</v>
      </c>
      <c r="E142" s="286">
        <v>166666.70000000001</v>
      </c>
      <c r="F142" s="286">
        <v>90.909090000000006</v>
      </c>
    </row>
    <row r="143" spans="1:6">
      <c r="A143" s="286" t="s">
        <v>635</v>
      </c>
      <c r="B143" s="286" t="s">
        <v>636</v>
      </c>
      <c r="C143" s="286">
        <v>50</v>
      </c>
      <c r="D143" s="286">
        <v>6500</v>
      </c>
      <c r="E143" s="286">
        <v>191666.7</v>
      </c>
      <c r="F143" s="286">
        <v>92.727270000000004</v>
      </c>
    </row>
    <row r="144" spans="1:6">
      <c r="A144" s="286" t="s">
        <v>635</v>
      </c>
      <c r="B144" s="286" t="s">
        <v>636</v>
      </c>
      <c r="C144" s="286">
        <v>50</v>
      </c>
      <c r="D144" s="286">
        <v>7000</v>
      </c>
      <c r="E144" s="286">
        <v>208333.3</v>
      </c>
      <c r="F144" s="286">
        <v>95.454539999999994</v>
      </c>
    </row>
    <row r="145" spans="1:8">
      <c r="A145" s="286" t="s">
        <v>635</v>
      </c>
      <c r="B145" s="286" t="s">
        <v>636</v>
      </c>
      <c r="C145" s="286">
        <v>50</v>
      </c>
      <c r="D145" s="286">
        <v>7500</v>
      </c>
      <c r="E145" s="286">
        <v>233333.3</v>
      </c>
      <c r="F145" s="286">
        <v>97.272729999999996</v>
      </c>
    </row>
    <row r="146" spans="1:8" ht="17.25" thickBot="1">
      <c r="A146" s="287" t="s">
        <v>635</v>
      </c>
      <c r="B146" s="287" t="s">
        <v>636</v>
      </c>
      <c r="C146" s="287">
        <v>50</v>
      </c>
      <c r="D146" s="287">
        <v>8000</v>
      </c>
      <c r="E146" s="287">
        <v>250000</v>
      </c>
      <c r="F146" s="287">
        <v>99.090909999999994</v>
      </c>
      <c r="G146" s="195" t="s">
        <v>645</v>
      </c>
    </row>
    <row r="147" spans="1:8" ht="17.25" thickTop="1">
      <c r="A147" s="286" t="s">
        <v>635</v>
      </c>
      <c r="B147" s="286" t="s">
        <v>636</v>
      </c>
      <c r="C147" s="286">
        <v>60</v>
      </c>
      <c r="D147" s="286">
        <v>2</v>
      </c>
      <c r="E147" s="286">
        <v>1.75</v>
      </c>
      <c r="F147" s="286">
        <v>1.25</v>
      </c>
      <c r="G147">
        <f>E147/E2</f>
        <v>1.2000002742857769</v>
      </c>
      <c r="H147">
        <f t="shared" ref="H147:H210" si="0">F147/F2</f>
        <v>1.0999996480001126</v>
      </c>
    </row>
    <row r="148" spans="1:8">
      <c r="A148" s="286" t="s">
        <v>635</v>
      </c>
      <c r="B148" s="286" t="s">
        <v>636</v>
      </c>
      <c r="C148" s="286">
        <v>60</v>
      </c>
      <c r="D148" s="286">
        <v>4</v>
      </c>
      <c r="E148" s="286">
        <v>1.95</v>
      </c>
      <c r="F148" s="286">
        <v>2.5</v>
      </c>
      <c r="G148">
        <f t="shared" ref="G148:G211" si="1">E148/E3</f>
        <v>1.2</v>
      </c>
      <c r="H148">
        <f t="shared" si="0"/>
        <v>1.1000001320000157</v>
      </c>
    </row>
    <row r="149" spans="1:8">
      <c r="A149" s="286" t="s">
        <v>635</v>
      </c>
      <c r="B149" s="286" t="s">
        <v>636</v>
      </c>
      <c r="C149" s="286">
        <v>60</v>
      </c>
      <c r="D149" s="286">
        <v>6</v>
      </c>
      <c r="E149" s="286">
        <v>2.2999999999999998</v>
      </c>
      <c r="F149" s="286">
        <v>3</v>
      </c>
      <c r="G149">
        <f t="shared" si="1"/>
        <v>1.1999997913043841</v>
      </c>
      <c r="H149">
        <f t="shared" si="0"/>
        <v>1.099999890000011</v>
      </c>
    </row>
    <row r="150" spans="1:8">
      <c r="A150" s="286" t="s">
        <v>635</v>
      </c>
      <c r="B150" s="286" t="s">
        <v>636</v>
      </c>
      <c r="C150" s="286">
        <v>60</v>
      </c>
      <c r="D150" s="286">
        <v>8</v>
      </c>
      <c r="E150" s="286">
        <v>2.6</v>
      </c>
      <c r="F150" s="286">
        <v>3.4</v>
      </c>
      <c r="G150">
        <f t="shared" si="1"/>
        <v>1.1999998153846438</v>
      </c>
      <c r="H150">
        <f t="shared" si="0"/>
        <v>1.1000000323529422</v>
      </c>
    </row>
    <row r="151" spans="1:8">
      <c r="A151" s="286" t="s">
        <v>635</v>
      </c>
      <c r="B151" s="286" t="s">
        <v>636</v>
      </c>
      <c r="C151" s="286">
        <v>60</v>
      </c>
      <c r="D151" s="286">
        <v>10</v>
      </c>
      <c r="E151" s="286">
        <v>3</v>
      </c>
      <c r="F151" s="286">
        <v>3.5</v>
      </c>
      <c r="G151">
        <f t="shared" si="1"/>
        <v>1.2</v>
      </c>
      <c r="H151">
        <f t="shared" si="0"/>
        <v>1.1000000628571465</v>
      </c>
    </row>
    <row r="152" spans="1:8">
      <c r="A152" s="286" t="s">
        <v>635</v>
      </c>
      <c r="B152" s="286" t="s">
        <v>636</v>
      </c>
      <c r="C152" s="286">
        <v>60</v>
      </c>
      <c r="D152" s="286">
        <v>12</v>
      </c>
      <c r="E152" s="286">
        <v>3.2</v>
      </c>
      <c r="F152" s="286">
        <v>3.6</v>
      </c>
      <c r="G152">
        <f t="shared" si="1"/>
        <v>1.1999998500000189</v>
      </c>
      <c r="H152">
        <f t="shared" si="0"/>
        <v>1.1000000916666743</v>
      </c>
    </row>
    <row r="153" spans="1:8">
      <c r="A153" s="286" t="s">
        <v>635</v>
      </c>
      <c r="B153" s="286" t="s">
        <v>636</v>
      </c>
      <c r="C153" s="286">
        <v>60</v>
      </c>
      <c r="D153" s="286">
        <v>14</v>
      </c>
      <c r="E153" s="286">
        <v>3.6</v>
      </c>
      <c r="F153" s="286">
        <v>3.7</v>
      </c>
      <c r="G153">
        <f t="shared" si="1"/>
        <v>1.2</v>
      </c>
      <c r="H153">
        <f t="shared" si="0"/>
        <v>1.1000001189189319</v>
      </c>
    </row>
    <row r="154" spans="1:8">
      <c r="A154" s="286" t="s">
        <v>635</v>
      </c>
      <c r="B154" s="286" t="s">
        <v>636</v>
      </c>
      <c r="C154" s="286">
        <v>60</v>
      </c>
      <c r="D154" s="286">
        <v>16</v>
      </c>
      <c r="E154" s="286">
        <v>4</v>
      </c>
      <c r="F154" s="286">
        <v>3.8</v>
      </c>
      <c r="G154">
        <f t="shared" si="1"/>
        <v>1.2000001200000119</v>
      </c>
      <c r="H154">
        <f t="shared" si="0"/>
        <v>1.100000144736861</v>
      </c>
    </row>
    <row r="155" spans="1:8">
      <c r="A155" s="286" t="s">
        <v>635</v>
      </c>
      <c r="B155" s="286" t="s">
        <v>636</v>
      </c>
      <c r="C155" s="286">
        <v>60</v>
      </c>
      <c r="D155" s="286">
        <v>18</v>
      </c>
      <c r="E155" s="286">
        <v>4.3</v>
      </c>
      <c r="F155" s="286">
        <v>3.9</v>
      </c>
      <c r="G155">
        <f t="shared" si="1"/>
        <v>1.2000001116279173</v>
      </c>
      <c r="H155">
        <f t="shared" si="0"/>
        <v>1.0999998589743771</v>
      </c>
    </row>
    <row r="156" spans="1:8">
      <c r="A156" s="286" t="s">
        <v>635</v>
      </c>
      <c r="B156" s="286" t="s">
        <v>636</v>
      </c>
      <c r="C156" s="286">
        <v>60</v>
      </c>
      <c r="D156" s="286">
        <v>20</v>
      </c>
      <c r="E156" s="286">
        <v>5</v>
      </c>
      <c r="F156" s="286">
        <v>3.95</v>
      </c>
      <c r="G156">
        <f t="shared" si="1"/>
        <v>1.1999999040000076</v>
      </c>
      <c r="H156">
        <f t="shared" si="0"/>
        <v>1.1000000278481021</v>
      </c>
    </row>
    <row r="157" spans="1:8">
      <c r="A157" s="286" t="s">
        <v>635</v>
      </c>
      <c r="B157" s="286" t="s">
        <v>636</v>
      </c>
      <c r="C157" s="286">
        <v>60</v>
      </c>
      <c r="D157" s="286">
        <v>22</v>
      </c>
      <c r="E157" s="286">
        <v>5.4</v>
      </c>
      <c r="F157" s="286">
        <v>4</v>
      </c>
      <c r="G157">
        <f t="shared" si="1"/>
        <v>1.2000000000000002</v>
      </c>
      <c r="H157">
        <f t="shared" si="0"/>
        <v>1.099999890000011</v>
      </c>
    </row>
    <row r="158" spans="1:8">
      <c r="A158" s="286" t="s">
        <v>635</v>
      </c>
      <c r="B158" s="286" t="s">
        <v>636</v>
      </c>
      <c r="C158" s="286">
        <v>60</v>
      </c>
      <c r="D158" s="286">
        <v>24</v>
      </c>
      <c r="E158" s="286">
        <v>6</v>
      </c>
      <c r="F158" s="286">
        <v>4.2</v>
      </c>
      <c r="G158">
        <f t="shared" si="1"/>
        <v>1.2</v>
      </c>
      <c r="H158">
        <f t="shared" si="0"/>
        <v>1.0999999476190501</v>
      </c>
    </row>
    <row r="159" spans="1:8">
      <c r="A159" s="286" t="s">
        <v>635</v>
      </c>
      <c r="B159" s="286" t="s">
        <v>636</v>
      </c>
      <c r="C159" s="286">
        <v>60</v>
      </c>
      <c r="D159" s="286">
        <v>25</v>
      </c>
      <c r="E159" s="286">
        <v>7.3</v>
      </c>
      <c r="F159" s="286">
        <v>4.25</v>
      </c>
      <c r="G159">
        <f t="shared" si="1"/>
        <v>1.2000000657534282</v>
      </c>
      <c r="H159">
        <f t="shared" si="0"/>
        <v>1.1000001035294216</v>
      </c>
    </row>
    <row r="160" spans="1:8">
      <c r="A160" s="286" t="s">
        <v>635</v>
      </c>
      <c r="B160" s="286" t="s">
        <v>636</v>
      </c>
      <c r="C160" s="286">
        <v>60</v>
      </c>
      <c r="D160" s="286">
        <v>26</v>
      </c>
      <c r="E160" s="286">
        <v>8</v>
      </c>
      <c r="F160" s="286">
        <v>4.3</v>
      </c>
      <c r="G160">
        <f t="shared" si="1"/>
        <v>1.199999940000003</v>
      </c>
      <c r="H160">
        <f t="shared" si="0"/>
        <v>1.0999999744186051</v>
      </c>
    </row>
    <row r="161" spans="1:8">
      <c r="A161" s="286" t="s">
        <v>635</v>
      </c>
      <c r="B161" s="286" t="s">
        <v>636</v>
      </c>
      <c r="C161" s="286">
        <v>60</v>
      </c>
      <c r="D161" s="286">
        <v>28</v>
      </c>
      <c r="E161" s="286">
        <v>9</v>
      </c>
      <c r="F161" s="286">
        <v>4.5</v>
      </c>
      <c r="G161">
        <f t="shared" si="1"/>
        <v>1.2</v>
      </c>
      <c r="H161">
        <f t="shared" si="0"/>
        <v>1.100000024444445</v>
      </c>
    </row>
    <row r="162" spans="1:8">
      <c r="A162" s="286" t="s">
        <v>635</v>
      </c>
      <c r="B162" s="286" t="s">
        <v>636</v>
      </c>
      <c r="C162" s="286">
        <v>60</v>
      </c>
      <c r="D162" s="286">
        <v>30</v>
      </c>
      <c r="E162" s="286">
        <v>10</v>
      </c>
      <c r="F162" s="286">
        <v>4.7</v>
      </c>
      <c r="G162">
        <f t="shared" si="1"/>
        <v>1.2000000480000019</v>
      </c>
      <c r="H162">
        <f t="shared" si="0"/>
        <v>1.1000000702127706</v>
      </c>
    </row>
    <row r="163" spans="1:8">
      <c r="A163" s="286" t="s">
        <v>635</v>
      </c>
      <c r="B163" s="286" t="s">
        <v>636</v>
      </c>
      <c r="C163" s="286">
        <v>60</v>
      </c>
      <c r="D163" s="286">
        <v>32</v>
      </c>
      <c r="E163" s="286">
        <v>12</v>
      </c>
      <c r="F163" s="286">
        <v>4.9000000000000004</v>
      </c>
      <c r="G163">
        <f t="shared" si="1"/>
        <v>1.2</v>
      </c>
      <c r="H163">
        <f t="shared" si="0"/>
        <v>1.1000001122449095</v>
      </c>
    </row>
    <row r="164" spans="1:8">
      <c r="A164" s="286" t="s">
        <v>635</v>
      </c>
      <c r="B164" s="286" t="s">
        <v>636</v>
      </c>
      <c r="C164" s="286">
        <v>60</v>
      </c>
      <c r="D164" s="286">
        <v>34</v>
      </c>
      <c r="E164" s="286">
        <v>13</v>
      </c>
      <c r="F164" s="286">
        <v>5</v>
      </c>
      <c r="G164">
        <f t="shared" si="1"/>
        <v>1.2000003692308829</v>
      </c>
      <c r="H164">
        <f t="shared" si="0"/>
        <v>1.0999998900000112</v>
      </c>
    </row>
    <row r="165" spans="1:8">
      <c r="A165" s="286" t="s">
        <v>635</v>
      </c>
      <c r="B165" s="286" t="s">
        <v>636</v>
      </c>
      <c r="C165" s="286">
        <v>60</v>
      </c>
      <c r="D165" s="286">
        <v>36</v>
      </c>
      <c r="E165" s="286">
        <v>14</v>
      </c>
      <c r="F165" s="286">
        <v>5.0999999999999996</v>
      </c>
      <c r="G165">
        <f t="shared" si="1"/>
        <v>1.1999996571429552</v>
      </c>
      <c r="H165">
        <f t="shared" si="0"/>
        <v>1.0999999137254968</v>
      </c>
    </row>
    <row r="166" spans="1:8">
      <c r="A166" s="286" t="s">
        <v>635</v>
      </c>
      <c r="B166" s="286" t="s">
        <v>636</v>
      </c>
      <c r="C166" s="286">
        <v>60</v>
      </c>
      <c r="D166" s="286">
        <v>38</v>
      </c>
      <c r="E166" s="286">
        <v>16</v>
      </c>
      <c r="F166" s="286">
        <v>5.2</v>
      </c>
      <c r="G166">
        <f t="shared" si="1"/>
        <v>1.200000300000075</v>
      </c>
      <c r="H166">
        <f t="shared" si="0"/>
        <v>1.0999999365384652</v>
      </c>
    </row>
    <row r="167" spans="1:8">
      <c r="A167" s="286" t="s">
        <v>635</v>
      </c>
      <c r="B167" s="286" t="s">
        <v>636</v>
      </c>
      <c r="C167" s="286">
        <v>60</v>
      </c>
      <c r="D167" s="286">
        <v>40</v>
      </c>
      <c r="E167" s="286">
        <v>17</v>
      </c>
      <c r="F167" s="286">
        <v>5.4</v>
      </c>
      <c r="G167">
        <f t="shared" si="1"/>
        <v>1.1999997176471253</v>
      </c>
      <c r="H167">
        <f t="shared" si="0"/>
        <v>1.09999997962963</v>
      </c>
    </row>
    <row r="168" spans="1:8">
      <c r="A168" s="286" t="s">
        <v>635</v>
      </c>
      <c r="B168" s="286" t="s">
        <v>636</v>
      </c>
      <c r="C168" s="286">
        <v>60</v>
      </c>
      <c r="D168" s="286">
        <v>42</v>
      </c>
      <c r="E168" s="286">
        <v>18</v>
      </c>
      <c r="F168" s="286">
        <v>5.5</v>
      </c>
      <c r="G168">
        <f t="shared" si="1"/>
        <v>1.2</v>
      </c>
      <c r="H168">
        <f t="shared" si="0"/>
        <v>1.1000000000000001</v>
      </c>
    </row>
    <row r="169" spans="1:8">
      <c r="A169" s="286" t="s">
        <v>635</v>
      </c>
      <c r="B169" s="286" t="s">
        <v>636</v>
      </c>
      <c r="C169" s="286">
        <v>60</v>
      </c>
      <c r="D169" s="286">
        <v>44</v>
      </c>
      <c r="E169" s="286">
        <v>20</v>
      </c>
      <c r="F169" s="286">
        <v>5.6</v>
      </c>
      <c r="G169">
        <f t="shared" si="1"/>
        <v>1.199999760000048</v>
      </c>
      <c r="H169">
        <f t="shared" si="0"/>
        <v>1.1000000196428574</v>
      </c>
    </row>
    <row r="170" spans="1:8">
      <c r="A170" s="286" t="s">
        <v>635</v>
      </c>
      <c r="B170" s="286" t="s">
        <v>636</v>
      </c>
      <c r="C170" s="286">
        <v>60</v>
      </c>
      <c r="D170" s="286">
        <v>46</v>
      </c>
      <c r="E170" s="286">
        <v>22</v>
      </c>
      <c r="F170" s="286">
        <v>5.8</v>
      </c>
      <c r="G170">
        <f t="shared" si="1"/>
        <v>1.2000002181818579</v>
      </c>
      <c r="H170">
        <f t="shared" si="0"/>
        <v>1.1000000568965547</v>
      </c>
    </row>
    <row r="171" spans="1:8">
      <c r="A171" s="286" t="s">
        <v>635</v>
      </c>
      <c r="B171" s="286" t="s">
        <v>636</v>
      </c>
      <c r="C171" s="286">
        <v>60</v>
      </c>
      <c r="D171" s="286">
        <v>48</v>
      </c>
      <c r="E171" s="286">
        <v>23.5</v>
      </c>
      <c r="F171" s="286">
        <v>5.85</v>
      </c>
      <c r="G171">
        <f t="shared" si="1"/>
        <v>1.2000002042553539</v>
      </c>
      <c r="H171">
        <f t="shared" si="0"/>
        <v>1.0999999623931636</v>
      </c>
    </row>
    <row r="172" spans="1:8">
      <c r="A172" s="286" t="s">
        <v>635</v>
      </c>
      <c r="B172" s="286" t="s">
        <v>636</v>
      </c>
      <c r="C172" s="286">
        <v>60</v>
      </c>
      <c r="D172" s="286">
        <v>50</v>
      </c>
      <c r="E172" s="286">
        <v>25</v>
      </c>
      <c r="F172" s="286">
        <v>6</v>
      </c>
      <c r="G172">
        <f t="shared" si="1"/>
        <v>1.2000001920000307</v>
      </c>
      <c r="H172">
        <f t="shared" si="0"/>
        <v>1.1000000916666741</v>
      </c>
    </row>
    <row r="173" spans="1:8">
      <c r="A173" s="286" t="s">
        <v>635</v>
      </c>
      <c r="B173" s="286" t="s">
        <v>636</v>
      </c>
      <c r="C173" s="286">
        <v>60</v>
      </c>
      <c r="D173" s="286">
        <v>52</v>
      </c>
      <c r="E173" s="286">
        <v>27</v>
      </c>
      <c r="F173" s="286">
        <v>6</v>
      </c>
      <c r="G173">
        <f t="shared" si="1"/>
        <v>1.2</v>
      </c>
      <c r="H173">
        <f t="shared" si="0"/>
        <v>1.1000000916666741</v>
      </c>
    </row>
    <row r="174" spans="1:8">
      <c r="A174" s="286" t="s">
        <v>635</v>
      </c>
      <c r="B174" s="286" t="s">
        <v>636</v>
      </c>
      <c r="C174" s="286">
        <v>60</v>
      </c>
      <c r="D174" s="286">
        <v>54</v>
      </c>
      <c r="E174" s="286">
        <v>29</v>
      </c>
      <c r="F174" s="286">
        <v>6.25</v>
      </c>
      <c r="G174">
        <f t="shared" si="1"/>
        <v>1.1999998344827814</v>
      </c>
      <c r="H174">
        <f t="shared" si="0"/>
        <v>1.1000000352000012</v>
      </c>
    </row>
    <row r="175" spans="1:8">
      <c r="A175" s="286" t="s">
        <v>635</v>
      </c>
      <c r="B175" s="286" t="s">
        <v>636</v>
      </c>
      <c r="C175" s="286">
        <v>60</v>
      </c>
      <c r="D175" s="286">
        <v>56</v>
      </c>
      <c r="E175" s="286">
        <v>30</v>
      </c>
      <c r="F175" s="286">
        <v>6.3</v>
      </c>
      <c r="G175">
        <f t="shared" si="1"/>
        <v>1.2</v>
      </c>
      <c r="H175">
        <f t="shared" si="0"/>
        <v>1.0999999476190501</v>
      </c>
    </row>
    <row r="176" spans="1:8">
      <c r="A176" s="286" t="s">
        <v>635</v>
      </c>
      <c r="B176" s="286" t="s">
        <v>636</v>
      </c>
      <c r="C176" s="286">
        <v>60</v>
      </c>
      <c r="D176" s="286">
        <v>58</v>
      </c>
      <c r="E176" s="286">
        <v>31</v>
      </c>
      <c r="F176" s="286">
        <v>6.4</v>
      </c>
      <c r="G176">
        <f t="shared" si="1"/>
        <v>1.2000001548387296</v>
      </c>
      <c r="H176">
        <f t="shared" si="0"/>
        <v>1.099999965625001</v>
      </c>
    </row>
    <row r="177" spans="1:8">
      <c r="A177" s="286" t="s">
        <v>635</v>
      </c>
      <c r="B177" s="286" t="s">
        <v>636</v>
      </c>
      <c r="C177" s="286">
        <v>60</v>
      </c>
      <c r="D177" s="286">
        <v>60</v>
      </c>
      <c r="E177" s="286">
        <v>35</v>
      </c>
      <c r="F177" s="286">
        <v>6.5</v>
      </c>
      <c r="G177">
        <f t="shared" si="1"/>
        <v>1.1999998628571584</v>
      </c>
      <c r="H177">
        <f t="shared" si="0"/>
        <v>1.0999999830769234</v>
      </c>
    </row>
    <row r="178" spans="1:8">
      <c r="A178" s="286" t="s">
        <v>635</v>
      </c>
      <c r="B178" s="286" t="s">
        <v>636</v>
      </c>
      <c r="C178" s="286">
        <v>60</v>
      </c>
      <c r="D178" s="286">
        <v>62</v>
      </c>
      <c r="E178" s="286">
        <v>36</v>
      </c>
      <c r="F178" s="286">
        <v>6.6</v>
      </c>
      <c r="G178">
        <f t="shared" si="1"/>
        <v>1.2</v>
      </c>
      <c r="H178">
        <f t="shared" si="0"/>
        <v>1.0999999999999999</v>
      </c>
    </row>
    <row r="179" spans="1:8">
      <c r="A179" s="286" t="s">
        <v>635</v>
      </c>
      <c r="B179" s="286" t="s">
        <v>636</v>
      </c>
      <c r="C179" s="286">
        <v>60</v>
      </c>
      <c r="D179" s="286">
        <v>64</v>
      </c>
      <c r="E179" s="286">
        <v>37.5</v>
      </c>
      <c r="F179" s="286">
        <v>6.7</v>
      </c>
      <c r="G179">
        <f t="shared" si="1"/>
        <v>1.2</v>
      </c>
      <c r="H179">
        <f t="shared" si="0"/>
        <v>1.1000000164179107</v>
      </c>
    </row>
    <row r="180" spans="1:8">
      <c r="A180" s="286" t="s">
        <v>635</v>
      </c>
      <c r="B180" s="286" t="s">
        <v>636</v>
      </c>
      <c r="C180" s="286">
        <v>60</v>
      </c>
      <c r="D180" s="286">
        <v>66</v>
      </c>
      <c r="E180" s="286">
        <v>40</v>
      </c>
      <c r="F180" s="286">
        <v>6.75</v>
      </c>
      <c r="G180">
        <f t="shared" si="1"/>
        <v>1.2000001200000121</v>
      </c>
      <c r="H180">
        <f t="shared" si="0"/>
        <v>1.0999999348148186</v>
      </c>
    </row>
    <row r="181" spans="1:8">
      <c r="A181" s="286" t="s">
        <v>635</v>
      </c>
      <c r="B181" s="286" t="s">
        <v>636</v>
      </c>
      <c r="C181" s="286">
        <v>60</v>
      </c>
      <c r="D181" s="286">
        <v>68</v>
      </c>
      <c r="E181" s="286">
        <v>43</v>
      </c>
      <c r="F181" s="286">
        <v>6.9</v>
      </c>
      <c r="G181">
        <f t="shared" si="1"/>
        <v>1.2000001116279175</v>
      </c>
      <c r="H181">
        <f t="shared" si="0"/>
        <v>1.1000000478260892</v>
      </c>
    </row>
    <row r="182" spans="1:8">
      <c r="A182" s="286" t="s">
        <v>635</v>
      </c>
      <c r="B182" s="286" t="s">
        <v>636</v>
      </c>
      <c r="C182" s="286">
        <v>60</v>
      </c>
      <c r="D182" s="286">
        <v>70</v>
      </c>
      <c r="E182" s="286">
        <v>46.5</v>
      </c>
      <c r="F182" s="286">
        <v>7</v>
      </c>
      <c r="G182">
        <f t="shared" si="1"/>
        <v>1.2</v>
      </c>
      <c r="H182">
        <f t="shared" si="0"/>
        <v>1.1000000628571465</v>
      </c>
    </row>
    <row r="183" spans="1:8">
      <c r="A183" s="286" t="s">
        <v>635</v>
      </c>
      <c r="B183" s="286" t="s">
        <v>636</v>
      </c>
      <c r="C183" s="286">
        <v>60</v>
      </c>
      <c r="D183" s="286">
        <v>72</v>
      </c>
      <c r="E183" s="286">
        <v>47</v>
      </c>
      <c r="F183" s="286">
        <v>7.1</v>
      </c>
      <c r="G183">
        <f t="shared" si="1"/>
        <v>1.199999897872349</v>
      </c>
      <c r="H183">
        <f t="shared" si="0"/>
        <v>1.100000077464794</v>
      </c>
    </row>
    <row r="184" spans="1:8">
      <c r="A184" s="286" t="s">
        <v>635</v>
      </c>
      <c r="B184" s="286" t="s">
        <v>636</v>
      </c>
      <c r="C184" s="286">
        <v>60</v>
      </c>
      <c r="D184" s="286">
        <v>74</v>
      </c>
      <c r="E184" s="286">
        <v>50</v>
      </c>
      <c r="F184" s="286">
        <v>7.2</v>
      </c>
      <c r="G184">
        <f t="shared" si="1"/>
        <v>1.1999999040000076</v>
      </c>
      <c r="H184">
        <f t="shared" si="0"/>
        <v>1.0999999236111164</v>
      </c>
    </row>
    <row r="185" spans="1:8">
      <c r="A185" s="286" t="s">
        <v>635</v>
      </c>
      <c r="B185" s="286" t="s">
        <v>636</v>
      </c>
      <c r="C185" s="286">
        <v>60</v>
      </c>
      <c r="D185" s="286">
        <v>76</v>
      </c>
      <c r="E185" s="286">
        <v>53</v>
      </c>
      <c r="F185" s="286">
        <v>7.3</v>
      </c>
      <c r="G185">
        <f t="shared" si="1"/>
        <v>1.1999999094339691</v>
      </c>
      <c r="H185">
        <f t="shared" si="0"/>
        <v>1.0999999397260307</v>
      </c>
    </row>
    <row r="186" spans="1:8">
      <c r="A186" s="286" t="s">
        <v>635</v>
      </c>
      <c r="B186" s="286" t="s">
        <v>636</v>
      </c>
      <c r="C186" s="286">
        <v>60</v>
      </c>
      <c r="D186" s="286">
        <v>78</v>
      </c>
      <c r="E186" s="286">
        <v>54</v>
      </c>
      <c r="F186" s="286">
        <v>7.4</v>
      </c>
      <c r="G186">
        <f t="shared" si="1"/>
        <v>1.2</v>
      </c>
      <c r="H186">
        <f t="shared" si="0"/>
        <v>1.0999999554054072</v>
      </c>
    </row>
    <row r="187" spans="1:8">
      <c r="A187" s="286" t="s">
        <v>635</v>
      </c>
      <c r="B187" s="286" t="s">
        <v>636</v>
      </c>
      <c r="C187" s="286">
        <v>60</v>
      </c>
      <c r="D187" s="286">
        <v>80</v>
      </c>
      <c r="E187" s="286">
        <v>58</v>
      </c>
      <c r="F187" s="286">
        <v>7.5</v>
      </c>
      <c r="G187">
        <f t="shared" si="1"/>
        <v>1.2000000827586266</v>
      </c>
      <c r="H187">
        <f t="shared" si="0"/>
        <v>1.0999999706666674</v>
      </c>
    </row>
    <row r="188" spans="1:8">
      <c r="A188" s="286" t="s">
        <v>635</v>
      </c>
      <c r="B188" s="286" t="s">
        <v>636</v>
      </c>
      <c r="C188" s="286">
        <v>60</v>
      </c>
      <c r="D188" s="286">
        <v>82</v>
      </c>
      <c r="E188" s="286">
        <v>60</v>
      </c>
      <c r="F188" s="286">
        <v>7.6</v>
      </c>
      <c r="G188">
        <f t="shared" si="1"/>
        <v>1.2</v>
      </c>
      <c r="H188">
        <f t="shared" si="0"/>
        <v>1.0999999855263158</v>
      </c>
    </row>
    <row r="189" spans="1:8">
      <c r="A189" s="286" t="s">
        <v>635</v>
      </c>
      <c r="B189" s="286" t="s">
        <v>636</v>
      </c>
      <c r="C189" s="286">
        <v>60</v>
      </c>
      <c r="D189" s="286">
        <v>84</v>
      </c>
      <c r="E189" s="286">
        <v>62.5</v>
      </c>
      <c r="F189" s="286">
        <v>7.9</v>
      </c>
      <c r="G189">
        <f t="shared" si="1"/>
        <v>1.200000076800005</v>
      </c>
      <c r="H189">
        <f t="shared" si="0"/>
        <v>1.1000000278481021</v>
      </c>
    </row>
    <row r="190" spans="1:8">
      <c r="A190" s="286" t="s">
        <v>635</v>
      </c>
      <c r="B190" s="286" t="s">
        <v>636</v>
      </c>
      <c r="C190" s="286">
        <v>60</v>
      </c>
      <c r="D190" s="286">
        <v>86</v>
      </c>
      <c r="E190" s="286">
        <v>65</v>
      </c>
      <c r="F190" s="286">
        <v>7.95</v>
      </c>
      <c r="G190">
        <f t="shared" si="1"/>
        <v>1.1999999261538505</v>
      </c>
      <c r="H190">
        <f t="shared" si="0"/>
        <v>1.0999999584905675</v>
      </c>
    </row>
    <row r="191" spans="1:8">
      <c r="A191" s="286" t="s">
        <v>635</v>
      </c>
      <c r="B191" s="286" t="s">
        <v>636</v>
      </c>
      <c r="C191" s="286">
        <v>60</v>
      </c>
      <c r="D191" s="286">
        <v>88</v>
      </c>
      <c r="E191" s="286">
        <v>67.5</v>
      </c>
      <c r="F191" s="286">
        <v>8</v>
      </c>
      <c r="G191">
        <f t="shared" si="1"/>
        <v>1.2</v>
      </c>
      <c r="H191">
        <f t="shared" si="0"/>
        <v>1.1000000412500015</v>
      </c>
    </row>
    <row r="192" spans="1:8">
      <c r="A192" s="286" t="s">
        <v>635</v>
      </c>
      <c r="B192" s="286" t="s">
        <v>636</v>
      </c>
      <c r="C192" s="286">
        <v>60</v>
      </c>
      <c r="D192" s="286">
        <v>90</v>
      </c>
      <c r="E192" s="286">
        <v>70</v>
      </c>
      <c r="F192" s="286">
        <v>8</v>
      </c>
      <c r="G192">
        <f t="shared" si="1"/>
        <v>1.2000000685714325</v>
      </c>
      <c r="H192">
        <f t="shared" si="0"/>
        <v>1.1000000412500015</v>
      </c>
    </row>
    <row r="193" spans="1:8">
      <c r="A193" s="286" t="s">
        <v>635</v>
      </c>
      <c r="B193" s="286" t="s">
        <v>636</v>
      </c>
      <c r="C193" s="286">
        <v>60</v>
      </c>
      <c r="D193" s="286">
        <v>92</v>
      </c>
      <c r="E193" s="286">
        <v>74</v>
      </c>
      <c r="F193" s="286">
        <v>8</v>
      </c>
      <c r="G193">
        <f t="shared" si="1"/>
        <v>1.1999999351351385</v>
      </c>
      <c r="H193">
        <f t="shared" si="0"/>
        <v>1.1000000412500015</v>
      </c>
    </row>
    <row r="194" spans="1:8">
      <c r="A194" s="286" t="s">
        <v>635</v>
      </c>
      <c r="B194" s="286" t="s">
        <v>636</v>
      </c>
      <c r="C194" s="286">
        <v>60</v>
      </c>
      <c r="D194" s="286">
        <v>94</v>
      </c>
      <c r="E194" s="286">
        <v>77</v>
      </c>
      <c r="F194" s="286">
        <v>8.3000000000000007</v>
      </c>
      <c r="G194">
        <f t="shared" si="1"/>
        <v>1.2000001246753378</v>
      </c>
      <c r="H194">
        <f t="shared" si="0"/>
        <v>1.099999933734944</v>
      </c>
    </row>
    <row r="195" spans="1:8">
      <c r="A195" s="286" t="s">
        <v>635</v>
      </c>
      <c r="B195" s="286" t="s">
        <v>636</v>
      </c>
      <c r="C195" s="286">
        <v>60</v>
      </c>
      <c r="D195" s="286">
        <v>96</v>
      </c>
      <c r="E195" s="286">
        <v>80</v>
      </c>
      <c r="F195" s="286">
        <v>8.4</v>
      </c>
      <c r="G195">
        <f t="shared" si="1"/>
        <v>1.2000001200000121</v>
      </c>
      <c r="H195">
        <f t="shared" si="0"/>
        <v>1.0999999476190501</v>
      </c>
    </row>
    <row r="196" spans="1:8">
      <c r="A196" s="286" t="s">
        <v>635</v>
      </c>
      <c r="B196" s="286" t="s">
        <v>636</v>
      </c>
      <c r="C196" s="286">
        <v>60</v>
      </c>
      <c r="D196" s="286">
        <v>98</v>
      </c>
      <c r="E196" s="286">
        <v>85</v>
      </c>
      <c r="F196" s="286">
        <v>8.5</v>
      </c>
      <c r="G196">
        <f t="shared" si="1"/>
        <v>1.199999887058834</v>
      </c>
      <c r="H196">
        <f t="shared" si="0"/>
        <v>1.0999999611764719</v>
      </c>
    </row>
    <row r="197" spans="1:8">
      <c r="A197" s="286" t="s">
        <v>635</v>
      </c>
      <c r="B197" s="286" t="s">
        <v>636</v>
      </c>
      <c r="C197" s="286">
        <v>60</v>
      </c>
      <c r="D197" s="286">
        <v>100</v>
      </c>
      <c r="E197" s="286">
        <v>90</v>
      </c>
      <c r="F197" s="286">
        <v>8.6</v>
      </c>
      <c r="G197">
        <f t="shared" si="1"/>
        <v>1.2</v>
      </c>
      <c r="H197">
        <f t="shared" si="0"/>
        <v>1.0999999744186051</v>
      </c>
    </row>
    <row r="198" spans="1:8">
      <c r="A198" s="286" t="s">
        <v>635</v>
      </c>
      <c r="B198" s="286" t="s">
        <v>636</v>
      </c>
      <c r="C198" s="286">
        <v>60</v>
      </c>
      <c r="D198" s="286">
        <v>110</v>
      </c>
      <c r="E198" s="286">
        <v>100</v>
      </c>
      <c r="F198" s="286">
        <v>8.6999999999999993</v>
      </c>
      <c r="G198">
        <f t="shared" si="1"/>
        <v>1.1999999040000076</v>
      </c>
      <c r="H198">
        <f t="shared" si="0"/>
        <v>1.099999987356322</v>
      </c>
    </row>
    <row r="199" spans="1:8">
      <c r="A199" s="286" t="s">
        <v>635</v>
      </c>
      <c r="B199" s="286" t="s">
        <v>636</v>
      </c>
      <c r="C199" s="286">
        <v>60</v>
      </c>
      <c r="D199" s="286">
        <v>120</v>
      </c>
      <c r="E199" s="286">
        <v>120</v>
      </c>
      <c r="F199" s="286">
        <v>9.3000000000000007</v>
      </c>
      <c r="G199">
        <f t="shared" si="1"/>
        <v>1.2</v>
      </c>
      <c r="H199">
        <f t="shared" si="0"/>
        <v>1.0999999290322626</v>
      </c>
    </row>
    <row r="200" spans="1:8">
      <c r="A200" s="286" t="s">
        <v>635</v>
      </c>
      <c r="B200" s="286" t="s">
        <v>636</v>
      </c>
      <c r="C200" s="286">
        <v>60</v>
      </c>
      <c r="D200" s="286">
        <v>130</v>
      </c>
      <c r="E200" s="286">
        <v>140</v>
      </c>
      <c r="F200" s="286">
        <v>9.8000000000000007</v>
      </c>
      <c r="G200">
        <f t="shared" si="1"/>
        <v>1.199999657142955</v>
      </c>
      <c r="H200">
        <f t="shared" si="0"/>
        <v>1.0999999887755103</v>
      </c>
    </row>
    <row r="201" spans="1:8">
      <c r="A201" s="286" t="s">
        <v>635</v>
      </c>
      <c r="B201" s="286" t="s">
        <v>636</v>
      </c>
      <c r="C201" s="286">
        <v>60</v>
      </c>
      <c r="D201" s="286">
        <v>140</v>
      </c>
      <c r="E201" s="286">
        <v>160</v>
      </c>
      <c r="F201" s="286">
        <v>10</v>
      </c>
      <c r="G201">
        <f t="shared" si="1"/>
        <v>1.200000300000075</v>
      </c>
      <c r="H201">
        <f t="shared" si="0"/>
        <v>1.1000000110000001</v>
      </c>
    </row>
    <row r="202" spans="1:8">
      <c r="A202" s="286" t="s">
        <v>635</v>
      </c>
      <c r="B202" s="286" t="s">
        <v>636</v>
      </c>
      <c r="C202" s="286">
        <v>60</v>
      </c>
      <c r="D202" s="286">
        <v>150</v>
      </c>
      <c r="E202" s="286">
        <v>180</v>
      </c>
      <c r="F202" s="286">
        <v>11</v>
      </c>
      <c r="G202">
        <f t="shared" si="1"/>
        <v>1.2</v>
      </c>
      <c r="H202">
        <f t="shared" si="0"/>
        <v>1.1000000000000001</v>
      </c>
    </row>
    <row r="203" spans="1:8">
      <c r="A203" s="286" t="s">
        <v>635</v>
      </c>
      <c r="B203" s="286" t="s">
        <v>636</v>
      </c>
      <c r="C203" s="286">
        <v>60</v>
      </c>
      <c r="D203" s="286">
        <v>160</v>
      </c>
      <c r="E203" s="286">
        <v>190</v>
      </c>
      <c r="F203" s="286">
        <v>12.5</v>
      </c>
      <c r="G203">
        <f t="shared" si="1"/>
        <v>1.200000252631632</v>
      </c>
      <c r="H203">
        <f t="shared" si="0"/>
        <v>1.0999996480001126</v>
      </c>
    </row>
    <row r="204" spans="1:8">
      <c r="A204" s="286" t="s">
        <v>635</v>
      </c>
      <c r="B204" s="286" t="s">
        <v>636</v>
      </c>
      <c r="C204" s="286">
        <v>60</v>
      </c>
      <c r="D204" s="286">
        <v>170</v>
      </c>
      <c r="E204" s="286">
        <v>220</v>
      </c>
      <c r="F204" s="286">
        <v>13</v>
      </c>
      <c r="G204">
        <f t="shared" si="1"/>
        <v>1.2000002181818579</v>
      </c>
      <c r="H204">
        <f t="shared" si="0"/>
        <v>1.1000001692307952</v>
      </c>
    </row>
    <row r="205" spans="1:8">
      <c r="A205" s="286" t="s">
        <v>635</v>
      </c>
      <c r="B205" s="286" t="s">
        <v>636</v>
      </c>
      <c r="C205" s="286">
        <v>60</v>
      </c>
      <c r="D205" s="286">
        <v>180</v>
      </c>
      <c r="E205" s="286">
        <v>255</v>
      </c>
      <c r="F205" s="286">
        <v>14</v>
      </c>
      <c r="G205">
        <f t="shared" si="1"/>
        <v>1.2</v>
      </c>
      <c r="H205">
        <f t="shared" si="0"/>
        <v>1.1000002357143361</v>
      </c>
    </row>
    <row r="206" spans="1:8">
      <c r="A206" s="286" t="s">
        <v>635</v>
      </c>
      <c r="B206" s="286" t="s">
        <v>636</v>
      </c>
      <c r="C206" s="286">
        <v>60</v>
      </c>
      <c r="D206" s="286">
        <v>190</v>
      </c>
      <c r="E206" s="286">
        <v>270</v>
      </c>
      <c r="F206" s="286">
        <v>14</v>
      </c>
      <c r="G206">
        <f t="shared" si="1"/>
        <v>1.2</v>
      </c>
      <c r="H206">
        <f t="shared" si="0"/>
        <v>1.1000002357143361</v>
      </c>
    </row>
    <row r="207" spans="1:8">
      <c r="A207" s="286" t="s">
        <v>635</v>
      </c>
      <c r="B207" s="286" t="s">
        <v>636</v>
      </c>
      <c r="C207" s="286">
        <v>60</v>
      </c>
      <c r="D207" s="286">
        <v>200</v>
      </c>
      <c r="E207" s="286">
        <v>300</v>
      </c>
      <c r="F207" s="286">
        <v>14</v>
      </c>
      <c r="G207">
        <f t="shared" si="1"/>
        <v>1.2</v>
      </c>
      <c r="H207">
        <f t="shared" si="0"/>
        <v>1.1000002357143361</v>
      </c>
    </row>
    <row r="208" spans="1:8">
      <c r="A208" s="286" t="s">
        <v>635</v>
      </c>
      <c r="B208" s="286" t="s">
        <v>636</v>
      </c>
      <c r="C208" s="286">
        <v>60</v>
      </c>
      <c r="D208" s="286">
        <v>210</v>
      </c>
      <c r="E208" s="286">
        <v>325</v>
      </c>
      <c r="F208" s="286">
        <v>14.5</v>
      </c>
      <c r="G208">
        <f t="shared" si="1"/>
        <v>1.2000001476923259</v>
      </c>
      <c r="H208">
        <f t="shared" si="0"/>
        <v>1.099999848275883</v>
      </c>
    </row>
    <row r="209" spans="1:8">
      <c r="A209" s="286" t="s">
        <v>635</v>
      </c>
      <c r="B209" s="286" t="s">
        <v>636</v>
      </c>
      <c r="C209" s="286">
        <v>60</v>
      </c>
      <c r="D209" s="286">
        <v>220</v>
      </c>
      <c r="E209" s="286">
        <v>360</v>
      </c>
      <c r="F209" s="286">
        <v>15</v>
      </c>
      <c r="G209">
        <f t="shared" si="1"/>
        <v>1.2</v>
      </c>
      <c r="H209">
        <f t="shared" si="0"/>
        <v>1.1000002933334116</v>
      </c>
    </row>
    <row r="210" spans="1:8">
      <c r="A210" s="286" t="s">
        <v>635</v>
      </c>
      <c r="B210" s="286" t="s">
        <v>636</v>
      </c>
      <c r="C210" s="286">
        <v>60</v>
      </c>
      <c r="D210" s="286">
        <v>230</v>
      </c>
      <c r="E210" s="286">
        <v>400</v>
      </c>
      <c r="F210" s="286">
        <v>15</v>
      </c>
      <c r="G210">
        <f t="shared" si="1"/>
        <v>1.2000001200000119</v>
      </c>
      <c r="H210">
        <f t="shared" si="0"/>
        <v>1.1000002933334116</v>
      </c>
    </row>
    <row r="211" spans="1:8">
      <c r="A211" s="286" t="s">
        <v>635</v>
      </c>
      <c r="B211" s="286" t="s">
        <v>636</v>
      </c>
      <c r="C211" s="286">
        <v>60</v>
      </c>
      <c r="D211" s="286">
        <v>240</v>
      </c>
      <c r="E211" s="286">
        <v>430</v>
      </c>
      <c r="F211" s="286">
        <v>15.5</v>
      </c>
      <c r="G211">
        <f t="shared" si="1"/>
        <v>1.2000001116279173</v>
      </c>
      <c r="H211">
        <f t="shared" ref="H211:H274" si="2">F211/F66</f>
        <v>1.0999999290322626</v>
      </c>
    </row>
    <row r="212" spans="1:8">
      <c r="A212" s="286" t="s">
        <v>635</v>
      </c>
      <c r="B212" s="286" t="s">
        <v>636</v>
      </c>
      <c r="C212" s="286">
        <v>60</v>
      </c>
      <c r="D212" s="286">
        <v>250</v>
      </c>
      <c r="E212" s="286">
        <v>470</v>
      </c>
      <c r="F212" s="286">
        <v>16</v>
      </c>
      <c r="G212">
        <f t="shared" ref="G212:G275" si="3">E212/E67</f>
        <v>1.1999998978723492</v>
      </c>
      <c r="H212">
        <f t="shared" si="2"/>
        <v>1.1000003437501074</v>
      </c>
    </row>
    <row r="213" spans="1:8">
      <c r="A213" s="286" t="s">
        <v>635</v>
      </c>
      <c r="B213" s="286" t="s">
        <v>636</v>
      </c>
      <c r="C213" s="286">
        <v>60</v>
      </c>
      <c r="D213" s="286">
        <v>260</v>
      </c>
      <c r="E213" s="286">
        <v>500</v>
      </c>
      <c r="F213" s="286">
        <v>16.5</v>
      </c>
      <c r="G213">
        <f t="shared" si="3"/>
        <v>1.1999999040000078</v>
      </c>
      <c r="H213">
        <f t="shared" si="2"/>
        <v>1.1000000000000001</v>
      </c>
    </row>
    <row r="214" spans="1:8">
      <c r="A214" s="286" t="s">
        <v>635</v>
      </c>
      <c r="B214" s="286" t="s">
        <v>636</v>
      </c>
      <c r="C214" s="286">
        <v>60</v>
      </c>
      <c r="D214" s="286">
        <v>270</v>
      </c>
      <c r="E214" s="286">
        <v>540</v>
      </c>
      <c r="F214" s="286">
        <v>16.5</v>
      </c>
      <c r="G214">
        <f t="shared" si="3"/>
        <v>1.2</v>
      </c>
      <c r="H214">
        <f t="shared" si="2"/>
        <v>1.1000000000000001</v>
      </c>
    </row>
    <row r="215" spans="1:8">
      <c r="A215" s="286" t="s">
        <v>635</v>
      </c>
      <c r="B215" s="286" t="s">
        <v>636</v>
      </c>
      <c r="C215" s="286">
        <v>60</v>
      </c>
      <c r="D215" s="286">
        <v>280</v>
      </c>
      <c r="E215" s="286">
        <v>580</v>
      </c>
      <c r="F215" s="286">
        <v>16.5</v>
      </c>
      <c r="G215">
        <f t="shared" si="3"/>
        <v>1.2000000827586264</v>
      </c>
      <c r="H215">
        <f t="shared" si="2"/>
        <v>1.1000000000000001</v>
      </c>
    </row>
    <row r="216" spans="1:8">
      <c r="A216" s="286" t="s">
        <v>635</v>
      </c>
      <c r="B216" s="286" t="s">
        <v>636</v>
      </c>
      <c r="C216" s="286">
        <v>60</v>
      </c>
      <c r="D216" s="286">
        <v>290</v>
      </c>
      <c r="E216" s="286">
        <v>600</v>
      </c>
      <c r="F216" s="286">
        <v>17</v>
      </c>
      <c r="G216">
        <f t="shared" si="3"/>
        <v>1.2</v>
      </c>
      <c r="H216">
        <f t="shared" si="2"/>
        <v>1.0999996764706834</v>
      </c>
    </row>
    <row r="217" spans="1:8">
      <c r="A217" s="286" t="s">
        <v>635</v>
      </c>
      <c r="B217" s="286" t="s">
        <v>636</v>
      </c>
      <c r="C217" s="286">
        <v>60</v>
      </c>
      <c r="D217" s="286">
        <v>300</v>
      </c>
      <c r="E217" s="286">
        <v>650</v>
      </c>
      <c r="F217" s="286">
        <v>17</v>
      </c>
      <c r="G217">
        <f t="shared" si="3"/>
        <v>1.1999999261538508</v>
      </c>
      <c r="H217">
        <f t="shared" si="2"/>
        <v>1.0999996764706834</v>
      </c>
    </row>
    <row r="218" spans="1:8">
      <c r="A218" s="286" t="s">
        <v>635</v>
      </c>
      <c r="B218" s="286" t="s">
        <v>636</v>
      </c>
      <c r="C218" s="286">
        <v>60</v>
      </c>
      <c r="D218" s="286">
        <v>320</v>
      </c>
      <c r="E218" s="286">
        <v>700</v>
      </c>
      <c r="F218" s="286">
        <v>17</v>
      </c>
      <c r="G218">
        <f t="shared" si="3"/>
        <v>1.2000000685714325</v>
      </c>
      <c r="H218">
        <f t="shared" si="2"/>
        <v>1.0999996764706834</v>
      </c>
    </row>
    <row r="219" spans="1:8">
      <c r="A219" s="286" t="s">
        <v>635</v>
      </c>
      <c r="B219" s="286" t="s">
        <v>636</v>
      </c>
      <c r="C219" s="286">
        <v>60</v>
      </c>
      <c r="D219" s="286">
        <v>340</v>
      </c>
      <c r="E219" s="286">
        <v>800</v>
      </c>
      <c r="F219" s="286">
        <v>17</v>
      </c>
      <c r="G219">
        <f t="shared" si="3"/>
        <v>1.199999940000003</v>
      </c>
      <c r="H219">
        <f t="shared" si="2"/>
        <v>1.0999996764706834</v>
      </c>
    </row>
    <row r="220" spans="1:8">
      <c r="A220" s="286" t="s">
        <v>635</v>
      </c>
      <c r="B220" s="286" t="s">
        <v>636</v>
      </c>
      <c r="C220" s="286">
        <v>60</v>
      </c>
      <c r="D220" s="286">
        <v>360</v>
      </c>
      <c r="E220" s="286">
        <v>1000</v>
      </c>
      <c r="F220" s="286">
        <v>18</v>
      </c>
      <c r="G220">
        <f t="shared" si="3"/>
        <v>1.2000000480000019</v>
      </c>
      <c r="H220">
        <f t="shared" si="2"/>
        <v>1.0999997555556098</v>
      </c>
    </row>
    <row r="221" spans="1:8">
      <c r="A221" s="286" t="s">
        <v>635</v>
      </c>
      <c r="B221" s="286" t="s">
        <v>636</v>
      </c>
      <c r="C221" s="286">
        <v>60</v>
      </c>
      <c r="D221" s="286">
        <v>380</v>
      </c>
      <c r="E221" s="286">
        <v>1100</v>
      </c>
      <c r="F221" s="286">
        <v>18.5</v>
      </c>
      <c r="G221">
        <f t="shared" si="3"/>
        <v>1.1999999563636379</v>
      </c>
      <c r="H221">
        <f t="shared" si="2"/>
        <v>1.1000001189189317</v>
      </c>
    </row>
    <row r="222" spans="1:8">
      <c r="A222" s="286" t="s">
        <v>635</v>
      </c>
      <c r="B222" s="286" t="s">
        <v>636</v>
      </c>
      <c r="C222" s="286">
        <v>60</v>
      </c>
      <c r="D222" s="286">
        <v>400</v>
      </c>
      <c r="E222" s="286">
        <v>1250</v>
      </c>
      <c r="F222" s="286">
        <v>19</v>
      </c>
      <c r="G222">
        <f t="shared" si="3"/>
        <v>1.1999996160001229</v>
      </c>
      <c r="H222">
        <f t="shared" si="2"/>
        <v>1.0999998263158171</v>
      </c>
    </row>
    <row r="223" spans="1:8">
      <c r="A223" s="286" t="s">
        <v>635</v>
      </c>
      <c r="B223" s="286" t="s">
        <v>636</v>
      </c>
      <c r="C223" s="286">
        <v>60</v>
      </c>
      <c r="D223" s="286">
        <v>420</v>
      </c>
      <c r="E223" s="286">
        <v>1400</v>
      </c>
      <c r="F223" s="286">
        <v>19.5</v>
      </c>
      <c r="G223">
        <f t="shared" si="3"/>
        <v>1.1999996571429552</v>
      </c>
      <c r="H223">
        <f t="shared" si="2"/>
        <v>1.1000001692307952</v>
      </c>
    </row>
    <row r="224" spans="1:8">
      <c r="A224" s="286" t="s">
        <v>635</v>
      </c>
      <c r="B224" s="286" t="s">
        <v>636</v>
      </c>
      <c r="C224" s="286">
        <v>60</v>
      </c>
      <c r="D224" s="286">
        <v>440</v>
      </c>
      <c r="E224" s="286">
        <v>1500</v>
      </c>
      <c r="F224" s="286">
        <v>20</v>
      </c>
      <c r="G224">
        <f t="shared" si="3"/>
        <v>1.2</v>
      </c>
      <c r="H224">
        <f t="shared" si="2"/>
        <v>1.0999998900000112</v>
      </c>
    </row>
    <row r="225" spans="1:8">
      <c r="A225" s="286" t="s">
        <v>635</v>
      </c>
      <c r="B225" s="286" t="s">
        <v>636</v>
      </c>
      <c r="C225" s="286">
        <v>60</v>
      </c>
      <c r="D225" s="286">
        <v>460</v>
      </c>
      <c r="E225" s="286">
        <v>1600</v>
      </c>
      <c r="F225" s="286">
        <v>20</v>
      </c>
      <c r="G225">
        <f t="shared" si="3"/>
        <v>1.200000300000075</v>
      </c>
      <c r="H225">
        <f t="shared" si="2"/>
        <v>1.0999998900000112</v>
      </c>
    </row>
    <row r="226" spans="1:8">
      <c r="A226" s="286" t="s">
        <v>635</v>
      </c>
      <c r="B226" s="286" t="s">
        <v>636</v>
      </c>
      <c r="C226" s="286">
        <v>60</v>
      </c>
      <c r="D226" s="286">
        <v>480</v>
      </c>
      <c r="E226" s="286">
        <v>1700</v>
      </c>
      <c r="F226" s="286">
        <v>21</v>
      </c>
      <c r="G226">
        <f t="shared" si="3"/>
        <v>1.1999997176471253</v>
      </c>
      <c r="H226">
        <f t="shared" si="2"/>
        <v>1.0999999476190501</v>
      </c>
    </row>
    <row r="227" spans="1:8">
      <c r="A227" s="286" t="s">
        <v>635</v>
      </c>
      <c r="B227" s="286" t="s">
        <v>636</v>
      </c>
      <c r="C227" s="286">
        <v>60</v>
      </c>
      <c r="D227" s="286">
        <v>500</v>
      </c>
      <c r="E227" s="286">
        <v>1850</v>
      </c>
      <c r="F227" s="286">
        <v>22</v>
      </c>
      <c r="G227">
        <f t="shared" si="3"/>
        <v>1.1999997405405967</v>
      </c>
      <c r="H227">
        <f t="shared" si="2"/>
        <v>1.1000000000000001</v>
      </c>
    </row>
    <row r="228" spans="1:8">
      <c r="A228" s="286" t="s">
        <v>635</v>
      </c>
      <c r="B228" s="286" t="s">
        <v>636</v>
      </c>
      <c r="C228" s="286">
        <v>60</v>
      </c>
      <c r="D228" s="286">
        <v>520</v>
      </c>
      <c r="E228" s="286">
        <v>1900</v>
      </c>
      <c r="F228" s="286">
        <v>22.5</v>
      </c>
      <c r="G228">
        <f t="shared" si="3"/>
        <v>1.200000252631632</v>
      </c>
      <c r="H228">
        <f t="shared" si="2"/>
        <v>1.0999997555556098</v>
      </c>
    </row>
    <row r="229" spans="1:8">
      <c r="A229" s="286" t="s">
        <v>635</v>
      </c>
      <c r="B229" s="286" t="s">
        <v>636</v>
      </c>
      <c r="C229" s="286">
        <v>60</v>
      </c>
      <c r="D229" s="286">
        <v>540</v>
      </c>
      <c r="E229" s="286">
        <v>2000</v>
      </c>
      <c r="F229" s="286">
        <v>23</v>
      </c>
      <c r="G229">
        <f t="shared" si="3"/>
        <v>1.199999760000048</v>
      </c>
      <c r="H229">
        <f t="shared" si="2"/>
        <v>1.1000000478260892</v>
      </c>
    </row>
    <row r="230" spans="1:8">
      <c r="A230" s="286" t="s">
        <v>635</v>
      </c>
      <c r="B230" s="286" t="s">
        <v>636</v>
      </c>
      <c r="C230" s="286">
        <v>60</v>
      </c>
      <c r="D230" s="286">
        <v>560</v>
      </c>
      <c r="E230" s="286">
        <v>2400</v>
      </c>
      <c r="F230" s="286">
        <v>24</v>
      </c>
      <c r="G230">
        <f t="shared" si="3"/>
        <v>1.2</v>
      </c>
      <c r="H230">
        <f t="shared" si="2"/>
        <v>1.1000000916666741</v>
      </c>
    </row>
    <row r="231" spans="1:8">
      <c r="A231" s="286" t="s">
        <v>635</v>
      </c>
      <c r="B231" s="286" t="s">
        <v>636</v>
      </c>
      <c r="C231" s="286">
        <v>60</v>
      </c>
      <c r="D231" s="286">
        <v>580</v>
      </c>
      <c r="E231" s="286">
        <v>2450</v>
      </c>
      <c r="F231" s="286">
        <v>24.5</v>
      </c>
      <c r="G231">
        <f t="shared" si="3"/>
        <v>1.1999998040816646</v>
      </c>
      <c r="H231">
        <f t="shared" si="2"/>
        <v>1.0999998653061389</v>
      </c>
    </row>
    <row r="232" spans="1:8">
      <c r="A232" s="286" t="s">
        <v>635</v>
      </c>
      <c r="B232" s="286" t="s">
        <v>636</v>
      </c>
      <c r="C232" s="286">
        <v>60</v>
      </c>
      <c r="D232" s="286">
        <v>600</v>
      </c>
      <c r="E232" s="286">
        <v>2600</v>
      </c>
      <c r="F232" s="286">
        <v>25</v>
      </c>
      <c r="G232">
        <f t="shared" si="3"/>
        <v>1.1999998153846438</v>
      </c>
      <c r="H232">
        <f t="shared" si="2"/>
        <v>1.1000001320000159</v>
      </c>
    </row>
    <row r="233" spans="1:8">
      <c r="A233" s="286" t="s">
        <v>635</v>
      </c>
      <c r="B233" s="286" t="s">
        <v>636</v>
      </c>
      <c r="C233" s="286">
        <v>60</v>
      </c>
      <c r="D233" s="286">
        <v>620</v>
      </c>
      <c r="E233" s="286">
        <v>2700</v>
      </c>
      <c r="F233" s="286">
        <v>25.5</v>
      </c>
      <c r="G233">
        <f t="shared" si="3"/>
        <v>1.2</v>
      </c>
      <c r="H233">
        <f t="shared" si="2"/>
        <v>1.099999913725497</v>
      </c>
    </row>
    <row r="234" spans="1:8">
      <c r="A234" s="286" t="s">
        <v>635</v>
      </c>
      <c r="B234" s="286" t="s">
        <v>636</v>
      </c>
      <c r="C234" s="286">
        <v>60</v>
      </c>
      <c r="D234" s="286">
        <v>640</v>
      </c>
      <c r="E234" s="286">
        <v>3000</v>
      </c>
      <c r="F234" s="286">
        <v>26</v>
      </c>
      <c r="G234">
        <f t="shared" si="3"/>
        <v>1.2</v>
      </c>
      <c r="H234">
        <f t="shared" si="2"/>
        <v>1.1000001692307952</v>
      </c>
    </row>
    <row r="235" spans="1:8">
      <c r="A235" s="286" t="s">
        <v>635</v>
      </c>
      <c r="B235" s="286" t="s">
        <v>636</v>
      </c>
      <c r="C235" s="286">
        <v>60</v>
      </c>
      <c r="D235" s="286">
        <v>660</v>
      </c>
      <c r="E235" s="286">
        <v>3100</v>
      </c>
      <c r="F235" s="286">
        <v>26</v>
      </c>
      <c r="G235">
        <f t="shared" si="3"/>
        <v>1.2000001548387296</v>
      </c>
      <c r="H235">
        <f t="shared" si="2"/>
        <v>1.1000001692307952</v>
      </c>
    </row>
    <row r="236" spans="1:8">
      <c r="A236" s="286" t="s">
        <v>635</v>
      </c>
      <c r="B236" s="286" t="s">
        <v>636</v>
      </c>
      <c r="C236" s="286">
        <v>60</v>
      </c>
      <c r="D236" s="286">
        <v>680</v>
      </c>
      <c r="E236" s="286">
        <v>3400</v>
      </c>
      <c r="F236" s="286">
        <v>26.5</v>
      </c>
      <c r="G236">
        <f t="shared" si="3"/>
        <v>1.2000001411764871</v>
      </c>
      <c r="H236">
        <f t="shared" si="2"/>
        <v>1.0999999584905675</v>
      </c>
    </row>
    <row r="237" spans="1:8">
      <c r="A237" s="286" t="s">
        <v>635</v>
      </c>
      <c r="B237" s="286" t="s">
        <v>636</v>
      </c>
      <c r="C237" s="286">
        <v>60</v>
      </c>
      <c r="D237" s="286">
        <v>700</v>
      </c>
      <c r="E237" s="286">
        <v>3600</v>
      </c>
      <c r="F237" s="286">
        <v>27</v>
      </c>
      <c r="G237">
        <f t="shared" si="3"/>
        <v>1.2</v>
      </c>
      <c r="H237">
        <f t="shared" si="2"/>
        <v>1.1000002037037415</v>
      </c>
    </row>
    <row r="238" spans="1:8">
      <c r="A238" s="286" t="s">
        <v>635</v>
      </c>
      <c r="B238" s="286" t="s">
        <v>636</v>
      </c>
      <c r="C238" s="286">
        <v>60</v>
      </c>
      <c r="D238" s="286">
        <v>720</v>
      </c>
      <c r="E238" s="286">
        <v>3750</v>
      </c>
      <c r="F238" s="286">
        <v>27</v>
      </c>
      <c r="G238">
        <f t="shared" si="3"/>
        <v>1.2</v>
      </c>
      <c r="H238">
        <f t="shared" si="2"/>
        <v>1.1000002037037415</v>
      </c>
    </row>
    <row r="239" spans="1:8">
      <c r="A239" s="286" t="s">
        <v>635</v>
      </c>
      <c r="B239" s="286" t="s">
        <v>636</v>
      </c>
      <c r="C239" s="286">
        <v>60</v>
      </c>
      <c r="D239" s="286">
        <v>740</v>
      </c>
      <c r="E239" s="286">
        <v>3900</v>
      </c>
      <c r="F239" s="286">
        <v>28</v>
      </c>
      <c r="G239">
        <f t="shared" si="3"/>
        <v>1.2</v>
      </c>
      <c r="H239">
        <f t="shared" si="2"/>
        <v>1.0999998035714635</v>
      </c>
    </row>
    <row r="240" spans="1:8">
      <c r="A240" s="286" t="s">
        <v>635</v>
      </c>
      <c r="B240" s="286" t="s">
        <v>636</v>
      </c>
      <c r="C240" s="286">
        <v>60</v>
      </c>
      <c r="D240" s="286">
        <v>760</v>
      </c>
      <c r="E240" s="286">
        <v>4000</v>
      </c>
      <c r="F240" s="286">
        <v>28</v>
      </c>
      <c r="G240">
        <f t="shared" si="3"/>
        <v>1.2000001200000119</v>
      </c>
      <c r="H240">
        <f t="shared" si="2"/>
        <v>1.0999998035714635</v>
      </c>
    </row>
    <row r="241" spans="1:8">
      <c r="A241" s="286" t="s">
        <v>635</v>
      </c>
      <c r="B241" s="286" t="s">
        <v>636</v>
      </c>
      <c r="C241" s="286">
        <v>60</v>
      </c>
      <c r="D241" s="286">
        <v>780</v>
      </c>
      <c r="E241" s="286">
        <v>4300</v>
      </c>
      <c r="F241" s="286">
        <v>28</v>
      </c>
      <c r="G241">
        <f t="shared" si="3"/>
        <v>1.2000001116279173</v>
      </c>
      <c r="H241">
        <f t="shared" si="2"/>
        <v>1.0999998035714635</v>
      </c>
    </row>
    <row r="242" spans="1:8">
      <c r="A242" s="286" t="s">
        <v>635</v>
      </c>
      <c r="B242" s="286" t="s">
        <v>636</v>
      </c>
      <c r="C242" s="286">
        <v>60</v>
      </c>
      <c r="D242" s="286">
        <v>800</v>
      </c>
      <c r="E242" s="286">
        <v>4600</v>
      </c>
      <c r="F242" s="286">
        <v>28.5</v>
      </c>
      <c r="G242">
        <f t="shared" si="3"/>
        <v>1.2000001043478352</v>
      </c>
      <c r="H242">
        <f t="shared" si="2"/>
        <v>1.1000000385964925</v>
      </c>
    </row>
    <row r="243" spans="1:8">
      <c r="A243" s="286" t="s">
        <v>635</v>
      </c>
      <c r="B243" s="286" t="s">
        <v>636</v>
      </c>
      <c r="C243" s="286">
        <v>60</v>
      </c>
      <c r="D243" s="286">
        <v>820</v>
      </c>
      <c r="E243" s="286">
        <v>4800</v>
      </c>
      <c r="F243" s="286">
        <v>28.5</v>
      </c>
      <c r="G243">
        <f t="shared" si="3"/>
        <v>1.2</v>
      </c>
      <c r="H243">
        <f t="shared" si="2"/>
        <v>1.1000000385964925</v>
      </c>
    </row>
    <row r="244" spans="1:8">
      <c r="A244" s="286" t="s">
        <v>635</v>
      </c>
      <c r="B244" s="286" t="s">
        <v>636</v>
      </c>
      <c r="C244" s="286">
        <v>60</v>
      </c>
      <c r="D244" s="286">
        <v>840</v>
      </c>
      <c r="E244" s="286">
        <v>5000</v>
      </c>
      <c r="F244" s="286">
        <v>29</v>
      </c>
      <c r="G244">
        <f t="shared" si="3"/>
        <v>1.1999999040000076</v>
      </c>
      <c r="H244">
        <f t="shared" si="2"/>
        <v>1.099999848275883</v>
      </c>
    </row>
    <row r="245" spans="1:8">
      <c r="A245" s="286" t="s">
        <v>635</v>
      </c>
      <c r="B245" s="286" t="s">
        <v>636</v>
      </c>
      <c r="C245" s="286">
        <v>60</v>
      </c>
      <c r="D245" s="286">
        <v>860</v>
      </c>
      <c r="E245" s="286">
        <v>5200</v>
      </c>
      <c r="F245" s="286">
        <v>29.5</v>
      </c>
      <c r="G245">
        <f t="shared" si="3"/>
        <v>1.2000000923076994</v>
      </c>
      <c r="H245">
        <f t="shared" si="2"/>
        <v>1.1000000745762761</v>
      </c>
    </row>
    <row r="246" spans="1:8">
      <c r="A246" s="286" t="s">
        <v>635</v>
      </c>
      <c r="B246" s="286" t="s">
        <v>636</v>
      </c>
      <c r="C246" s="286">
        <v>60</v>
      </c>
      <c r="D246" s="286">
        <v>880</v>
      </c>
      <c r="E246" s="286">
        <v>5400</v>
      </c>
      <c r="F246" s="286">
        <v>30</v>
      </c>
      <c r="G246">
        <f t="shared" si="3"/>
        <v>1.2</v>
      </c>
      <c r="H246">
        <f t="shared" si="2"/>
        <v>1.099999890000011</v>
      </c>
    </row>
    <row r="247" spans="1:8">
      <c r="A247" s="286" t="s">
        <v>635</v>
      </c>
      <c r="B247" s="286" t="s">
        <v>636</v>
      </c>
      <c r="C247" s="286">
        <v>60</v>
      </c>
      <c r="D247" s="286">
        <v>900</v>
      </c>
      <c r="E247" s="286">
        <v>5800</v>
      </c>
      <c r="F247" s="286">
        <v>31.5</v>
      </c>
      <c r="G247">
        <f t="shared" si="3"/>
        <v>1.2000000827586266</v>
      </c>
      <c r="H247">
        <f t="shared" si="2"/>
        <v>1.1000001396825574</v>
      </c>
    </row>
    <row r="248" spans="1:8">
      <c r="A248" s="286" t="s">
        <v>635</v>
      </c>
      <c r="B248" s="286" t="s">
        <v>636</v>
      </c>
      <c r="C248" s="286">
        <v>60</v>
      </c>
      <c r="D248" s="286">
        <v>920</v>
      </c>
      <c r="E248" s="286">
        <v>6000</v>
      </c>
      <c r="F248" s="286">
        <v>31.5</v>
      </c>
      <c r="G248">
        <f t="shared" si="3"/>
        <v>1.2</v>
      </c>
      <c r="H248">
        <f t="shared" si="2"/>
        <v>1.1000001396825574</v>
      </c>
    </row>
    <row r="249" spans="1:8">
      <c r="A249" s="286" t="s">
        <v>635</v>
      </c>
      <c r="B249" s="286" t="s">
        <v>636</v>
      </c>
      <c r="C249" s="286">
        <v>60</v>
      </c>
      <c r="D249" s="286">
        <v>940</v>
      </c>
      <c r="E249" s="286">
        <v>6500</v>
      </c>
      <c r="F249" s="286">
        <v>32</v>
      </c>
      <c r="G249">
        <f t="shared" si="3"/>
        <v>1.1999999261538505</v>
      </c>
      <c r="H249">
        <f t="shared" si="2"/>
        <v>1.099999965625001</v>
      </c>
    </row>
    <row r="250" spans="1:8">
      <c r="A250" s="286" t="s">
        <v>635</v>
      </c>
      <c r="B250" s="286" t="s">
        <v>636</v>
      </c>
      <c r="C250" s="286">
        <v>60</v>
      </c>
      <c r="D250" s="286">
        <v>960</v>
      </c>
      <c r="E250" s="286">
        <v>6700</v>
      </c>
      <c r="F250" s="286">
        <v>32.5</v>
      </c>
      <c r="G250">
        <f t="shared" si="3"/>
        <v>1.2000000716417953</v>
      </c>
      <c r="H250">
        <f t="shared" si="2"/>
        <v>1.1000001692307952</v>
      </c>
    </row>
    <row r="251" spans="1:8">
      <c r="A251" s="286" t="s">
        <v>635</v>
      </c>
      <c r="B251" s="286" t="s">
        <v>636</v>
      </c>
      <c r="C251" s="286">
        <v>60</v>
      </c>
      <c r="D251" s="286">
        <v>980</v>
      </c>
      <c r="E251" s="286">
        <v>6900</v>
      </c>
      <c r="F251" s="286">
        <v>33</v>
      </c>
      <c r="G251">
        <f t="shared" si="3"/>
        <v>1.2</v>
      </c>
      <c r="H251">
        <f t="shared" si="2"/>
        <v>1.1000000000000001</v>
      </c>
    </row>
    <row r="252" spans="1:8">
      <c r="A252" s="286" t="s">
        <v>635</v>
      </c>
      <c r="B252" s="286" t="s">
        <v>636</v>
      </c>
      <c r="C252" s="286">
        <v>60</v>
      </c>
      <c r="D252" s="286">
        <v>1000</v>
      </c>
      <c r="E252" s="286">
        <v>7000</v>
      </c>
      <c r="F252" s="286">
        <v>34</v>
      </c>
      <c r="G252">
        <f t="shared" si="3"/>
        <v>1.2000000685714325</v>
      </c>
      <c r="H252">
        <f t="shared" si="2"/>
        <v>1.1000000323529422</v>
      </c>
    </row>
    <row r="253" spans="1:8">
      <c r="A253" s="286" t="s">
        <v>635</v>
      </c>
      <c r="B253" s="286" t="s">
        <v>636</v>
      </c>
      <c r="C253" s="286">
        <v>60</v>
      </c>
      <c r="D253" s="286">
        <v>1100</v>
      </c>
      <c r="E253" s="286">
        <v>8300</v>
      </c>
      <c r="F253" s="286">
        <v>34.5</v>
      </c>
      <c r="G253">
        <f t="shared" si="3"/>
        <v>1.1999999421686773</v>
      </c>
      <c r="H253">
        <f t="shared" si="2"/>
        <v>1.0999998724637829</v>
      </c>
    </row>
    <row r="254" spans="1:8">
      <c r="A254" s="286" t="s">
        <v>635</v>
      </c>
      <c r="B254" s="286" t="s">
        <v>636</v>
      </c>
      <c r="C254" s="286">
        <v>60</v>
      </c>
      <c r="D254" s="286">
        <v>1200</v>
      </c>
      <c r="E254" s="286">
        <v>9000</v>
      </c>
      <c r="F254" s="286">
        <v>36</v>
      </c>
      <c r="G254">
        <f t="shared" si="3"/>
        <v>1.2</v>
      </c>
      <c r="H254">
        <f t="shared" si="2"/>
        <v>1.1000000916666743</v>
      </c>
    </row>
    <row r="255" spans="1:8">
      <c r="A255" s="286" t="s">
        <v>635</v>
      </c>
      <c r="B255" s="286" t="s">
        <v>636</v>
      </c>
      <c r="C255" s="286">
        <v>60</v>
      </c>
      <c r="D255" s="286">
        <v>1300</v>
      </c>
      <c r="E255" s="286">
        <v>12000</v>
      </c>
      <c r="F255" s="286">
        <v>37.5</v>
      </c>
      <c r="G255">
        <f t="shared" si="3"/>
        <v>1.2</v>
      </c>
      <c r="H255">
        <f t="shared" si="2"/>
        <v>1.0999999706666674</v>
      </c>
    </row>
    <row r="256" spans="1:8">
      <c r="A256" s="286" t="s">
        <v>635</v>
      </c>
      <c r="B256" s="286" t="s">
        <v>636</v>
      </c>
      <c r="C256" s="286">
        <v>60</v>
      </c>
      <c r="D256" s="286">
        <v>1400</v>
      </c>
      <c r="E256" s="286">
        <v>14000</v>
      </c>
      <c r="F256" s="286">
        <v>39</v>
      </c>
      <c r="G256">
        <f t="shared" si="3"/>
        <v>1.1999996571429552</v>
      </c>
      <c r="H256">
        <f t="shared" si="2"/>
        <v>1.1000001692307952</v>
      </c>
    </row>
    <row r="257" spans="1:8">
      <c r="A257" s="286" t="s">
        <v>635</v>
      </c>
      <c r="B257" s="286" t="s">
        <v>636</v>
      </c>
      <c r="C257" s="286">
        <v>60</v>
      </c>
      <c r="D257" s="286">
        <v>1500</v>
      </c>
      <c r="E257" s="286">
        <v>16000</v>
      </c>
      <c r="F257" s="286">
        <v>40</v>
      </c>
      <c r="G257">
        <f t="shared" si="3"/>
        <v>1.200000300000075</v>
      </c>
      <c r="H257">
        <f t="shared" si="2"/>
        <v>1.0999998900000112</v>
      </c>
    </row>
    <row r="258" spans="1:8">
      <c r="A258" s="286" t="s">
        <v>635</v>
      </c>
      <c r="B258" s="286" t="s">
        <v>636</v>
      </c>
      <c r="C258" s="286">
        <v>60</v>
      </c>
      <c r="D258" s="286">
        <v>1600</v>
      </c>
      <c r="E258" s="286">
        <v>18000</v>
      </c>
      <c r="F258" s="286">
        <v>42</v>
      </c>
      <c r="G258">
        <f t="shared" si="3"/>
        <v>1.2</v>
      </c>
      <c r="H258">
        <f t="shared" si="2"/>
        <v>1.0999999476190501</v>
      </c>
    </row>
    <row r="259" spans="1:8">
      <c r="A259" s="286" t="s">
        <v>635</v>
      </c>
      <c r="B259" s="286" t="s">
        <v>636</v>
      </c>
      <c r="C259" s="286">
        <v>60</v>
      </c>
      <c r="D259" s="286">
        <v>1700</v>
      </c>
      <c r="E259" s="286">
        <v>20000</v>
      </c>
      <c r="F259" s="286">
        <v>43</v>
      </c>
      <c r="G259">
        <f t="shared" si="3"/>
        <v>1.199999760000048</v>
      </c>
      <c r="H259">
        <f t="shared" si="2"/>
        <v>1.0999999744186053</v>
      </c>
    </row>
    <row r="260" spans="1:8">
      <c r="A260" s="286" t="s">
        <v>635</v>
      </c>
      <c r="B260" s="286" t="s">
        <v>636</v>
      </c>
      <c r="C260" s="286">
        <v>60</v>
      </c>
      <c r="D260" s="286">
        <v>1800</v>
      </c>
      <c r="E260" s="286">
        <v>23000</v>
      </c>
      <c r="F260" s="286">
        <v>45</v>
      </c>
      <c r="G260">
        <f t="shared" si="3"/>
        <v>1.1999997913043843</v>
      </c>
      <c r="H260">
        <f t="shared" si="2"/>
        <v>1.100000024444445</v>
      </c>
    </row>
    <row r="261" spans="1:8">
      <c r="A261" s="286" t="s">
        <v>635</v>
      </c>
      <c r="B261" s="286" t="s">
        <v>636</v>
      </c>
      <c r="C261" s="286">
        <v>60</v>
      </c>
      <c r="D261" s="286">
        <v>1900</v>
      </c>
      <c r="E261" s="286">
        <v>25000</v>
      </c>
      <c r="F261" s="286">
        <v>47</v>
      </c>
      <c r="G261">
        <f t="shared" si="3"/>
        <v>1.2000001920000307</v>
      </c>
      <c r="H261">
        <f t="shared" si="2"/>
        <v>1.1000000702127706</v>
      </c>
    </row>
    <row r="262" spans="1:8">
      <c r="A262" s="286" t="s">
        <v>635</v>
      </c>
      <c r="B262" s="286" t="s">
        <v>636</v>
      </c>
      <c r="C262" s="286">
        <v>60</v>
      </c>
      <c r="D262" s="286">
        <v>2000</v>
      </c>
      <c r="E262" s="286">
        <v>29000</v>
      </c>
      <c r="F262" s="286">
        <v>48</v>
      </c>
      <c r="G262">
        <f t="shared" si="3"/>
        <v>1.1999998344827816</v>
      </c>
      <c r="H262">
        <f t="shared" si="2"/>
        <v>1.1000000916666741</v>
      </c>
    </row>
    <row r="263" spans="1:8">
      <c r="A263" s="286" t="s">
        <v>635</v>
      </c>
      <c r="B263" s="286" t="s">
        <v>636</v>
      </c>
      <c r="C263" s="286">
        <v>60</v>
      </c>
      <c r="D263" s="286">
        <v>2100</v>
      </c>
      <c r="E263" s="286">
        <v>30000</v>
      </c>
      <c r="F263" s="286">
        <v>48.5</v>
      </c>
      <c r="G263">
        <f t="shared" si="3"/>
        <v>1.2</v>
      </c>
      <c r="H263">
        <f t="shared" si="2"/>
        <v>1.0999999773195881</v>
      </c>
    </row>
    <row r="264" spans="1:8">
      <c r="A264" s="286" t="s">
        <v>635</v>
      </c>
      <c r="B264" s="286" t="s">
        <v>636</v>
      </c>
      <c r="C264" s="286">
        <v>60</v>
      </c>
      <c r="D264" s="286">
        <v>2200</v>
      </c>
      <c r="E264" s="286">
        <v>33000</v>
      </c>
      <c r="F264" s="286">
        <v>50</v>
      </c>
      <c r="G264">
        <f t="shared" si="3"/>
        <v>1.2</v>
      </c>
      <c r="H264">
        <f t="shared" si="2"/>
        <v>1.1000001320000159</v>
      </c>
    </row>
    <row r="265" spans="1:8">
      <c r="A265" s="286" t="s">
        <v>635</v>
      </c>
      <c r="B265" s="286" t="s">
        <v>636</v>
      </c>
      <c r="C265" s="286">
        <v>60</v>
      </c>
      <c r="D265" s="286">
        <v>2300</v>
      </c>
      <c r="E265" s="286">
        <v>36000</v>
      </c>
      <c r="F265" s="286">
        <v>52</v>
      </c>
      <c r="G265">
        <f t="shared" si="3"/>
        <v>1.2</v>
      </c>
      <c r="H265">
        <f t="shared" si="2"/>
        <v>1.0999999365384652</v>
      </c>
    </row>
    <row r="266" spans="1:8">
      <c r="A266" s="286" t="s">
        <v>635</v>
      </c>
      <c r="B266" s="286" t="s">
        <v>636</v>
      </c>
      <c r="C266" s="286">
        <v>60</v>
      </c>
      <c r="D266" s="286">
        <v>2400</v>
      </c>
      <c r="E266" s="286">
        <v>40000</v>
      </c>
      <c r="F266" s="286">
        <v>53</v>
      </c>
      <c r="G266">
        <f t="shared" si="3"/>
        <v>1.2000001200000119</v>
      </c>
      <c r="H266">
        <f t="shared" si="2"/>
        <v>1.0999999584905675</v>
      </c>
    </row>
    <row r="267" spans="1:8">
      <c r="A267" s="286" t="s">
        <v>635</v>
      </c>
      <c r="B267" s="286" t="s">
        <v>636</v>
      </c>
      <c r="C267" s="286">
        <v>60</v>
      </c>
      <c r="D267" s="286">
        <v>2500</v>
      </c>
      <c r="E267" s="286">
        <v>45000</v>
      </c>
      <c r="F267" s="286">
        <v>54</v>
      </c>
      <c r="G267">
        <f t="shared" si="3"/>
        <v>1.2</v>
      </c>
      <c r="H267">
        <f t="shared" si="2"/>
        <v>1.09999997962963</v>
      </c>
    </row>
    <row r="268" spans="1:8">
      <c r="A268" s="286" t="s">
        <v>635</v>
      </c>
      <c r="B268" s="286" t="s">
        <v>636</v>
      </c>
      <c r="C268" s="286">
        <v>60</v>
      </c>
      <c r="D268" s="286">
        <v>2600</v>
      </c>
      <c r="E268" s="286">
        <v>49000</v>
      </c>
      <c r="F268" s="286">
        <v>55</v>
      </c>
      <c r="G268">
        <f t="shared" si="3"/>
        <v>1.2000000979591916</v>
      </c>
      <c r="H268">
        <f t="shared" si="2"/>
        <v>1.1000000000000001</v>
      </c>
    </row>
    <row r="269" spans="1:8">
      <c r="A269" s="286" t="s">
        <v>635</v>
      </c>
      <c r="B269" s="286" t="s">
        <v>636</v>
      </c>
      <c r="C269" s="286">
        <v>60</v>
      </c>
      <c r="D269" s="286">
        <v>2700</v>
      </c>
      <c r="E269" s="286">
        <v>52000</v>
      </c>
      <c r="F269" s="286">
        <v>56</v>
      </c>
      <c r="G269">
        <f t="shared" si="3"/>
        <v>1.2000000923076994</v>
      </c>
      <c r="H269">
        <f t="shared" si="2"/>
        <v>1.1000000196428574</v>
      </c>
    </row>
    <row r="270" spans="1:8">
      <c r="A270" s="286" t="s">
        <v>635</v>
      </c>
      <c r="B270" s="286" t="s">
        <v>636</v>
      </c>
      <c r="C270" s="286">
        <v>60</v>
      </c>
      <c r="D270" s="286">
        <v>2800</v>
      </c>
      <c r="E270" s="286">
        <v>56000</v>
      </c>
      <c r="F270" s="286">
        <v>58</v>
      </c>
      <c r="G270">
        <f t="shared" si="3"/>
        <v>1.1999999142857205</v>
      </c>
      <c r="H270">
        <f t="shared" si="2"/>
        <v>1.1000000568965547</v>
      </c>
    </row>
    <row r="271" spans="1:8">
      <c r="A271" s="286" t="s">
        <v>635</v>
      </c>
      <c r="B271" s="286" t="s">
        <v>636</v>
      </c>
      <c r="C271" s="286">
        <v>60</v>
      </c>
      <c r="D271" s="286">
        <v>2900</v>
      </c>
      <c r="E271" s="286">
        <v>60000</v>
      </c>
      <c r="F271" s="286">
        <v>59</v>
      </c>
      <c r="G271">
        <f t="shared" si="3"/>
        <v>1.2</v>
      </c>
      <c r="H271">
        <f t="shared" si="2"/>
        <v>1.1000000745762761</v>
      </c>
    </row>
    <row r="272" spans="1:8">
      <c r="A272" s="286" t="s">
        <v>635</v>
      </c>
      <c r="B272" s="286" t="s">
        <v>636</v>
      </c>
      <c r="C272" s="286">
        <v>60</v>
      </c>
      <c r="D272" s="286">
        <v>3000</v>
      </c>
      <c r="E272" s="286">
        <v>64000</v>
      </c>
      <c r="F272" s="286">
        <v>60</v>
      </c>
      <c r="G272">
        <f t="shared" si="3"/>
        <v>1.2000000750000046</v>
      </c>
      <c r="H272">
        <f t="shared" si="2"/>
        <v>1.099999890000011</v>
      </c>
    </row>
    <row r="273" spans="1:8">
      <c r="A273" s="286" t="s">
        <v>635</v>
      </c>
      <c r="B273" s="286" t="s">
        <v>636</v>
      </c>
      <c r="C273" s="286">
        <v>60</v>
      </c>
      <c r="D273" s="286">
        <v>3200</v>
      </c>
      <c r="E273" s="286">
        <v>70000</v>
      </c>
      <c r="F273" s="286">
        <v>63</v>
      </c>
      <c r="G273">
        <f t="shared" si="3"/>
        <v>1.2000000685714325</v>
      </c>
      <c r="H273">
        <f t="shared" si="2"/>
        <v>1.0999999476190501</v>
      </c>
    </row>
    <row r="274" spans="1:8">
      <c r="A274" s="286" t="s">
        <v>635</v>
      </c>
      <c r="B274" s="286" t="s">
        <v>636</v>
      </c>
      <c r="C274" s="286">
        <v>60</v>
      </c>
      <c r="D274" s="286">
        <v>3400</v>
      </c>
      <c r="E274" s="286">
        <v>79000</v>
      </c>
      <c r="F274" s="286">
        <v>66</v>
      </c>
      <c r="G274">
        <f t="shared" si="3"/>
        <v>1.1999998784810251</v>
      </c>
      <c r="H274">
        <f t="shared" si="2"/>
        <v>1.1000000000000001</v>
      </c>
    </row>
    <row r="275" spans="1:8">
      <c r="A275" s="286" t="s">
        <v>635</v>
      </c>
      <c r="B275" s="286" t="s">
        <v>636</v>
      </c>
      <c r="C275" s="286">
        <v>60</v>
      </c>
      <c r="D275" s="286">
        <v>3600</v>
      </c>
      <c r="E275" s="286">
        <v>90000</v>
      </c>
      <c r="F275" s="286">
        <v>68</v>
      </c>
      <c r="G275">
        <f t="shared" si="3"/>
        <v>1.2</v>
      </c>
      <c r="H275">
        <f t="shared" ref="H275:H291" si="4">F275/F130</f>
        <v>1.1000000323529422</v>
      </c>
    </row>
    <row r="276" spans="1:8">
      <c r="A276" s="286" t="s">
        <v>635</v>
      </c>
      <c r="B276" s="286" t="s">
        <v>636</v>
      </c>
      <c r="C276" s="286">
        <v>60</v>
      </c>
      <c r="D276" s="286">
        <v>3800</v>
      </c>
      <c r="E276" s="286">
        <v>96000</v>
      </c>
      <c r="F276" s="286">
        <v>70</v>
      </c>
      <c r="G276">
        <f t="shared" ref="G276:G291" si="5">E276/E131</f>
        <v>1.2</v>
      </c>
      <c r="H276">
        <f t="shared" si="4"/>
        <v>1.1000000628571465</v>
      </c>
    </row>
    <row r="277" spans="1:8">
      <c r="A277" s="286" t="s">
        <v>635</v>
      </c>
      <c r="B277" s="286" t="s">
        <v>636</v>
      </c>
      <c r="C277" s="286">
        <v>60</v>
      </c>
      <c r="D277" s="286">
        <v>4000</v>
      </c>
      <c r="E277" s="286">
        <v>100000</v>
      </c>
      <c r="F277" s="286">
        <v>73</v>
      </c>
      <c r="G277">
        <f t="shared" si="5"/>
        <v>1.1999999040000078</v>
      </c>
      <c r="H277">
        <f t="shared" si="4"/>
        <v>1.0999999397260307</v>
      </c>
    </row>
    <row r="278" spans="1:8">
      <c r="A278" s="286" t="s">
        <v>635</v>
      </c>
      <c r="B278" s="286" t="s">
        <v>636</v>
      </c>
      <c r="C278" s="286">
        <v>60</v>
      </c>
      <c r="D278" s="286">
        <v>4200</v>
      </c>
      <c r="E278" s="286">
        <v>102000</v>
      </c>
      <c r="F278" s="286">
        <v>75</v>
      </c>
      <c r="G278">
        <f t="shared" si="5"/>
        <v>1.2</v>
      </c>
      <c r="H278">
        <f t="shared" si="4"/>
        <v>1.0999999706666674</v>
      </c>
    </row>
    <row r="279" spans="1:8">
      <c r="A279" s="286" t="s">
        <v>635</v>
      </c>
      <c r="B279" s="286" t="s">
        <v>636</v>
      </c>
      <c r="C279" s="286">
        <v>60</v>
      </c>
      <c r="D279" s="286">
        <v>4400</v>
      </c>
      <c r="E279" s="286">
        <v>104000</v>
      </c>
      <c r="F279" s="286">
        <v>77</v>
      </c>
      <c r="G279">
        <f t="shared" si="5"/>
        <v>1.2000000923076994</v>
      </c>
      <c r="H279">
        <f t="shared" si="4"/>
        <v>1.1000000000000001</v>
      </c>
    </row>
    <row r="280" spans="1:8">
      <c r="A280" s="286" t="s">
        <v>635</v>
      </c>
      <c r="B280" s="286" t="s">
        <v>636</v>
      </c>
      <c r="C280" s="286">
        <v>60</v>
      </c>
      <c r="D280" s="286">
        <v>4600</v>
      </c>
      <c r="E280" s="286">
        <v>107000</v>
      </c>
      <c r="F280" s="286">
        <v>80</v>
      </c>
      <c r="G280">
        <f t="shared" si="5"/>
        <v>1.2000000897196328</v>
      </c>
      <c r="H280">
        <f t="shared" si="4"/>
        <v>1.1000000412500015</v>
      </c>
    </row>
    <row r="281" spans="1:8">
      <c r="A281" s="286" t="s">
        <v>635</v>
      </c>
      <c r="B281" s="286" t="s">
        <v>636</v>
      </c>
      <c r="C281" s="286">
        <v>60</v>
      </c>
      <c r="D281" s="286">
        <v>4800</v>
      </c>
      <c r="E281" s="286">
        <v>109000</v>
      </c>
      <c r="F281" s="286">
        <v>84</v>
      </c>
      <c r="G281">
        <f t="shared" si="5"/>
        <v>1.199999911926612</v>
      </c>
      <c r="H281">
        <f t="shared" si="4"/>
        <v>1.0999999476190501</v>
      </c>
    </row>
    <row r="282" spans="1:8">
      <c r="A282" s="286" t="s">
        <v>635</v>
      </c>
      <c r="B282" s="286" t="s">
        <v>636</v>
      </c>
      <c r="C282" s="286">
        <v>60</v>
      </c>
      <c r="D282" s="286">
        <v>5000</v>
      </c>
      <c r="E282" s="286">
        <v>110000</v>
      </c>
      <c r="F282" s="286">
        <v>86</v>
      </c>
      <c r="G282">
        <f t="shared" si="5"/>
        <v>1.2000000872727337</v>
      </c>
      <c r="H282">
        <f t="shared" si="4"/>
        <v>1.0999999744186053</v>
      </c>
    </row>
    <row r="283" spans="1:8">
      <c r="A283" s="286" t="s">
        <v>635</v>
      </c>
      <c r="B283" s="286" t="s">
        <v>636</v>
      </c>
      <c r="C283" s="286">
        <v>60</v>
      </c>
      <c r="D283" s="286">
        <v>5200</v>
      </c>
      <c r="E283" s="286">
        <v>120000</v>
      </c>
      <c r="F283" s="286">
        <v>90</v>
      </c>
      <c r="G283">
        <f t="shared" si="5"/>
        <v>1.2</v>
      </c>
      <c r="H283">
        <f t="shared" si="4"/>
        <v>1.100000024444445</v>
      </c>
    </row>
    <row r="284" spans="1:8">
      <c r="A284" s="286" t="s">
        <v>635</v>
      </c>
      <c r="B284" s="286" t="s">
        <v>636</v>
      </c>
      <c r="C284" s="286">
        <v>60</v>
      </c>
      <c r="D284" s="286">
        <v>5400</v>
      </c>
      <c r="E284" s="286">
        <v>140000</v>
      </c>
      <c r="F284" s="286">
        <v>92</v>
      </c>
      <c r="G284">
        <f t="shared" si="5"/>
        <v>1.1999996571429552</v>
      </c>
      <c r="H284">
        <f t="shared" si="4"/>
        <v>1.1000000478260892</v>
      </c>
    </row>
    <row r="285" spans="1:8">
      <c r="A285" s="286" t="s">
        <v>635</v>
      </c>
      <c r="B285" s="286" t="s">
        <v>636</v>
      </c>
      <c r="C285" s="286">
        <v>60</v>
      </c>
      <c r="D285" s="286">
        <v>5600</v>
      </c>
      <c r="E285" s="286">
        <v>160000</v>
      </c>
      <c r="F285" s="286">
        <v>94</v>
      </c>
      <c r="G285">
        <f t="shared" si="5"/>
        <v>1.2000003000000752</v>
      </c>
      <c r="H285">
        <f t="shared" si="4"/>
        <v>1.1000000702127706</v>
      </c>
    </row>
    <row r="286" spans="1:8">
      <c r="A286" s="286" t="s">
        <v>635</v>
      </c>
      <c r="B286" s="286" t="s">
        <v>636</v>
      </c>
      <c r="C286" s="286">
        <v>60</v>
      </c>
      <c r="D286" s="286">
        <v>5800</v>
      </c>
      <c r="E286" s="286">
        <v>180000</v>
      </c>
      <c r="F286" s="286">
        <v>96</v>
      </c>
      <c r="G286">
        <f t="shared" si="5"/>
        <v>1.2</v>
      </c>
      <c r="H286">
        <f t="shared" si="4"/>
        <v>1.099999965625001</v>
      </c>
    </row>
    <row r="287" spans="1:8">
      <c r="A287" s="286" t="s">
        <v>635</v>
      </c>
      <c r="B287" s="286" t="s">
        <v>636</v>
      </c>
      <c r="C287" s="286">
        <v>60</v>
      </c>
      <c r="D287" s="286">
        <v>6000</v>
      </c>
      <c r="E287" s="286">
        <v>200000</v>
      </c>
      <c r="F287" s="286">
        <v>100</v>
      </c>
      <c r="G287">
        <f t="shared" si="5"/>
        <v>1.1999997600000478</v>
      </c>
      <c r="H287">
        <f t="shared" si="4"/>
        <v>1.1000000110000001</v>
      </c>
    </row>
    <row r="288" spans="1:8">
      <c r="A288" s="286" t="s">
        <v>635</v>
      </c>
      <c r="B288" s="286" t="s">
        <v>636</v>
      </c>
      <c r="C288" s="286">
        <v>60</v>
      </c>
      <c r="D288" s="286">
        <v>6500</v>
      </c>
      <c r="E288" s="286">
        <v>230000</v>
      </c>
      <c r="F288" s="286">
        <v>102</v>
      </c>
      <c r="G288">
        <f t="shared" si="5"/>
        <v>1.1999997913043841</v>
      </c>
      <c r="H288">
        <f t="shared" si="4"/>
        <v>1.100000032352942</v>
      </c>
    </row>
    <row r="289" spans="1:10">
      <c r="A289" s="286" t="s">
        <v>635</v>
      </c>
      <c r="B289" s="286" t="s">
        <v>636</v>
      </c>
      <c r="C289" s="286">
        <v>60</v>
      </c>
      <c r="D289" s="286">
        <v>7000</v>
      </c>
      <c r="E289" s="286">
        <v>250000</v>
      </c>
      <c r="F289" s="286">
        <v>105</v>
      </c>
      <c r="G289">
        <f t="shared" si="5"/>
        <v>1.2000001920000307</v>
      </c>
      <c r="H289">
        <f t="shared" si="4"/>
        <v>1.1000000628571465</v>
      </c>
    </row>
    <row r="290" spans="1:10">
      <c r="A290" s="286" t="s">
        <v>635</v>
      </c>
      <c r="B290" s="286" t="s">
        <v>636</v>
      </c>
      <c r="C290" s="286">
        <v>60</v>
      </c>
      <c r="D290" s="286">
        <v>7500</v>
      </c>
      <c r="E290" s="286">
        <v>280000</v>
      </c>
      <c r="F290" s="286">
        <v>107</v>
      </c>
      <c r="G290">
        <f t="shared" si="5"/>
        <v>1.2000001714285959</v>
      </c>
      <c r="H290">
        <f t="shared" si="4"/>
        <v>1.0999999691588793</v>
      </c>
    </row>
    <row r="291" spans="1:10" ht="17.25" thickBot="1">
      <c r="A291" s="287" t="s">
        <v>635</v>
      </c>
      <c r="B291" s="287" t="s">
        <v>636</v>
      </c>
      <c r="C291" s="287">
        <v>60</v>
      </c>
      <c r="D291" s="287">
        <v>8000</v>
      </c>
      <c r="E291" s="287">
        <v>300000</v>
      </c>
      <c r="F291" s="287">
        <v>109</v>
      </c>
      <c r="G291">
        <f t="shared" si="5"/>
        <v>1.2</v>
      </c>
      <c r="H291">
        <f t="shared" si="4"/>
        <v>1.0999999899082571</v>
      </c>
    </row>
    <row r="292" spans="1:10" ht="17.25" thickTop="1">
      <c r="A292" s="290" t="s">
        <v>637</v>
      </c>
      <c r="B292" s="290" t="s">
        <v>636</v>
      </c>
      <c r="C292" s="290">
        <v>50</v>
      </c>
      <c r="D292" s="290">
        <v>10</v>
      </c>
      <c r="E292" s="290">
        <v>82</v>
      </c>
      <c r="F292" s="290">
        <v>1.8500000000000001E-3</v>
      </c>
      <c r="G292" s="195" t="s">
        <v>653</v>
      </c>
      <c r="J292" s="195" t="s">
        <v>654</v>
      </c>
    </row>
    <row r="293" spans="1:10">
      <c r="A293" s="290" t="s">
        <v>637</v>
      </c>
      <c r="B293" s="290" t="s">
        <v>636</v>
      </c>
      <c r="C293" s="290">
        <v>50</v>
      </c>
      <c r="D293" s="290">
        <v>20</v>
      </c>
      <c r="E293" s="290">
        <v>81</v>
      </c>
      <c r="F293" s="290">
        <v>2.3E-3</v>
      </c>
    </row>
    <row r="294" spans="1:10">
      <c r="A294" s="290" t="s">
        <v>637</v>
      </c>
      <c r="B294" s="290" t="s">
        <v>636</v>
      </c>
      <c r="C294" s="290">
        <v>50</v>
      </c>
      <c r="D294" s="290">
        <v>30</v>
      </c>
      <c r="E294" s="290">
        <v>80</v>
      </c>
      <c r="F294" s="290">
        <v>3.0999999999999999E-3</v>
      </c>
    </row>
    <row r="295" spans="1:10">
      <c r="A295" s="290" t="s">
        <v>637</v>
      </c>
      <c r="B295" s="290" t="s">
        <v>636</v>
      </c>
      <c r="C295" s="290">
        <v>50</v>
      </c>
      <c r="D295" s="290">
        <v>40</v>
      </c>
      <c r="E295" s="290">
        <v>79</v>
      </c>
      <c r="F295" s="290">
        <v>3.8E-3</v>
      </c>
    </row>
    <row r="296" spans="1:10">
      <c r="A296" s="290" t="s">
        <v>637</v>
      </c>
      <c r="B296" s="290" t="s">
        <v>636</v>
      </c>
      <c r="C296" s="290">
        <v>50</v>
      </c>
      <c r="D296" s="290">
        <v>50</v>
      </c>
      <c r="E296" s="290">
        <v>78.5</v>
      </c>
      <c r="F296" s="290">
        <v>4.4999999999999997E-3</v>
      </c>
    </row>
    <row r="297" spans="1:10">
      <c r="A297" s="290" t="s">
        <v>637</v>
      </c>
      <c r="B297" s="290" t="s">
        <v>636</v>
      </c>
      <c r="C297" s="290">
        <v>50</v>
      </c>
      <c r="D297" s="290">
        <v>100</v>
      </c>
      <c r="E297" s="290">
        <v>75</v>
      </c>
      <c r="F297" s="290">
        <v>7.2500000000000004E-3</v>
      </c>
    </row>
    <row r="298" spans="1:10">
      <c r="A298" s="290" t="s">
        <v>637</v>
      </c>
      <c r="B298" s="290" t="s">
        <v>636</v>
      </c>
      <c r="C298" s="290">
        <v>50</v>
      </c>
      <c r="D298" s="290">
        <v>200</v>
      </c>
      <c r="E298" s="290">
        <v>70</v>
      </c>
      <c r="F298" s="290">
        <v>1.2500000000000001E-2</v>
      </c>
    </row>
    <row r="299" spans="1:10">
      <c r="A299" s="290" t="s">
        <v>637</v>
      </c>
      <c r="B299" s="290" t="s">
        <v>636</v>
      </c>
      <c r="C299" s="290">
        <v>50</v>
      </c>
      <c r="D299" s="290">
        <v>300</v>
      </c>
      <c r="E299" s="290">
        <v>66.5</v>
      </c>
      <c r="F299" s="290">
        <v>1.7000000000000001E-2</v>
      </c>
    </row>
    <row r="300" spans="1:10">
      <c r="A300" s="290" t="s">
        <v>637</v>
      </c>
      <c r="B300" s="290" t="s">
        <v>636</v>
      </c>
      <c r="C300" s="290">
        <v>50</v>
      </c>
      <c r="D300" s="290">
        <v>400</v>
      </c>
      <c r="E300" s="290">
        <v>63.5</v>
      </c>
      <c r="F300" s="290">
        <v>2.1000000000000001E-2</v>
      </c>
    </row>
    <row r="301" spans="1:10">
      <c r="A301" s="290" t="s">
        <v>637</v>
      </c>
      <c r="B301" s="290" t="s">
        <v>636</v>
      </c>
      <c r="C301" s="290">
        <v>50</v>
      </c>
      <c r="D301" s="290">
        <v>500</v>
      </c>
      <c r="E301" s="290">
        <v>61.5</v>
      </c>
      <c r="F301" s="290">
        <v>2.4500000000000001E-2</v>
      </c>
    </row>
    <row r="302" spans="1:10">
      <c r="A302" s="290" t="s">
        <v>637</v>
      </c>
      <c r="B302" s="290" t="s">
        <v>636</v>
      </c>
      <c r="C302" s="290">
        <v>50</v>
      </c>
      <c r="D302" s="290">
        <v>600</v>
      </c>
      <c r="E302" s="290">
        <v>59.5</v>
      </c>
      <c r="F302" s="290">
        <v>2.8000000000000001E-2</v>
      </c>
    </row>
    <row r="303" spans="1:10">
      <c r="A303" s="290" t="s">
        <v>637</v>
      </c>
      <c r="B303" s="290" t="s">
        <v>636</v>
      </c>
      <c r="C303" s="290">
        <v>50</v>
      </c>
      <c r="D303" s="290">
        <v>700</v>
      </c>
      <c r="E303" s="290">
        <v>58</v>
      </c>
      <c r="F303" s="290">
        <v>3.15E-2</v>
      </c>
    </row>
    <row r="304" spans="1:10">
      <c r="A304" s="290" t="s">
        <v>637</v>
      </c>
      <c r="B304" s="290" t="s">
        <v>636</v>
      </c>
      <c r="C304" s="290">
        <v>50</v>
      </c>
      <c r="D304" s="290">
        <v>800</v>
      </c>
      <c r="E304" s="290">
        <v>57</v>
      </c>
      <c r="F304" s="290">
        <v>3.5000000000000003E-2</v>
      </c>
    </row>
    <row r="305" spans="1:6">
      <c r="A305" s="290" t="s">
        <v>637</v>
      </c>
      <c r="B305" s="290" t="s">
        <v>636</v>
      </c>
      <c r="C305" s="290">
        <v>50</v>
      </c>
      <c r="D305" s="290">
        <v>900</v>
      </c>
      <c r="E305" s="290">
        <v>56</v>
      </c>
      <c r="F305" s="290">
        <v>3.7999999999999999E-2</v>
      </c>
    </row>
    <row r="306" spans="1:6">
      <c r="A306" s="290" t="s">
        <v>637</v>
      </c>
      <c r="B306" s="290" t="s">
        <v>636</v>
      </c>
      <c r="C306" s="290">
        <v>50</v>
      </c>
      <c r="D306" s="290">
        <v>1000</v>
      </c>
      <c r="E306" s="290">
        <v>54.5</v>
      </c>
      <c r="F306" s="290">
        <v>4.1000000000000002E-2</v>
      </c>
    </row>
    <row r="307" spans="1:6">
      <c r="A307" s="290" t="s">
        <v>637</v>
      </c>
      <c r="B307" s="290" t="s">
        <v>636</v>
      </c>
      <c r="C307" s="290">
        <v>50</v>
      </c>
      <c r="D307" s="290">
        <v>2000</v>
      </c>
      <c r="E307" s="290">
        <v>46.5</v>
      </c>
      <c r="F307" s="290">
        <v>6.9000000000000006E-2</v>
      </c>
    </row>
    <row r="308" spans="1:6">
      <c r="A308" s="290" t="s">
        <v>637</v>
      </c>
      <c r="B308" s="290" t="s">
        <v>636</v>
      </c>
      <c r="C308" s="290">
        <v>50</v>
      </c>
      <c r="D308" s="290">
        <v>3000</v>
      </c>
      <c r="E308" s="290">
        <v>41.5</v>
      </c>
      <c r="F308" s="290">
        <v>9.1999999999999998E-2</v>
      </c>
    </row>
    <row r="309" spans="1:6">
      <c r="A309" s="290" t="s">
        <v>637</v>
      </c>
      <c r="B309" s="290" t="s">
        <v>636</v>
      </c>
      <c r="C309" s="290">
        <v>50</v>
      </c>
      <c r="D309" s="290">
        <v>4000</v>
      </c>
      <c r="E309" s="290">
        <v>36.5</v>
      </c>
      <c r="F309" s="290">
        <v>0.115</v>
      </c>
    </row>
    <row r="310" spans="1:6">
      <c r="A310" s="290" t="s">
        <v>637</v>
      </c>
      <c r="B310" s="290" t="s">
        <v>636</v>
      </c>
      <c r="C310" s="290">
        <v>50</v>
      </c>
      <c r="D310" s="290">
        <v>5000</v>
      </c>
      <c r="E310" s="290">
        <v>34.5</v>
      </c>
      <c r="F310" s="290">
        <v>0.13500000000000001</v>
      </c>
    </row>
    <row r="311" spans="1:6">
      <c r="A311" s="290" t="s">
        <v>637</v>
      </c>
      <c r="B311" s="290" t="s">
        <v>636</v>
      </c>
      <c r="C311" s="290">
        <v>50</v>
      </c>
      <c r="D311" s="290">
        <v>6000</v>
      </c>
      <c r="E311" s="290">
        <v>32.5</v>
      </c>
      <c r="F311" s="290">
        <v>0.152</v>
      </c>
    </row>
    <row r="312" spans="1:6">
      <c r="A312" s="290" t="s">
        <v>637</v>
      </c>
      <c r="B312" s="290" t="s">
        <v>636</v>
      </c>
      <c r="C312" s="290">
        <v>50</v>
      </c>
      <c r="D312" s="290">
        <v>7000</v>
      </c>
      <c r="E312" s="290">
        <v>31.5</v>
      </c>
      <c r="F312" s="290">
        <v>0.17</v>
      </c>
    </row>
    <row r="313" spans="1:6">
      <c r="A313" s="290" t="s">
        <v>637</v>
      </c>
      <c r="B313" s="290" t="s">
        <v>636</v>
      </c>
      <c r="C313" s="290">
        <v>50</v>
      </c>
      <c r="D313" s="290">
        <v>8000</v>
      </c>
      <c r="E313" s="290">
        <v>30.5</v>
      </c>
      <c r="F313" s="290">
        <v>0.19</v>
      </c>
    </row>
    <row r="314" spans="1:6">
      <c r="A314" s="290" t="s">
        <v>637</v>
      </c>
      <c r="B314" s="290" t="s">
        <v>636</v>
      </c>
      <c r="C314" s="290">
        <v>50</v>
      </c>
      <c r="D314" s="290">
        <v>9000</v>
      </c>
      <c r="E314" s="290">
        <v>30</v>
      </c>
      <c r="F314" s="290">
        <v>0.21</v>
      </c>
    </row>
    <row r="315" spans="1:6">
      <c r="A315" s="290" t="s">
        <v>637</v>
      </c>
      <c r="B315" s="290" t="s">
        <v>636</v>
      </c>
      <c r="C315" s="290">
        <v>50</v>
      </c>
      <c r="D315" s="290">
        <v>10000</v>
      </c>
      <c r="E315" s="290">
        <v>30.5</v>
      </c>
      <c r="F315" s="290">
        <v>0.22500000000000001</v>
      </c>
    </row>
    <row r="316" spans="1:6">
      <c r="A316" s="290" t="s">
        <v>637</v>
      </c>
      <c r="B316" s="290" t="s">
        <v>636</v>
      </c>
      <c r="C316" s="290">
        <v>50</v>
      </c>
      <c r="D316" s="290">
        <v>11000</v>
      </c>
      <c r="E316" s="290">
        <v>32</v>
      </c>
      <c r="F316" s="290">
        <v>0.25</v>
      </c>
    </row>
    <row r="317" spans="1:6">
      <c r="A317" s="290" t="s">
        <v>637</v>
      </c>
      <c r="B317" s="290" t="s">
        <v>636</v>
      </c>
      <c r="C317" s="290">
        <v>50</v>
      </c>
      <c r="D317" s="290">
        <v>12000</v>
      </c>
      <c r="E317" s="290">
        <v>33</v>
      </c>
      <c r="F317" s="290">
        <v>0.27</v>
      </c>
    </row>
    <row r="318" spans="1:6">
      <c r="A318" s="290" t="s">
        <v>637</v>
      </c>
      <c r="B318" s="290" t="s">
        <v>636</v>
      </c>
      <c r="C318" s="290">
        <v>50</v>
      </c>
      <c r="D318" s="290">
        <v>13000</v>
      </c>
      <c r="E318" s="290">
        <v>35.5</v>
      </c>
      <c r="F318" s="290">
        <v>0.3</v>
      </c>
    </row>
    <row r="319" spans="1:6">
      <c r="A319" s="290" t="s">
        <v>637</v>
      </c>
      <c r="B319" s="290" t="s">
        <v>636</v>
      </c>
      <c r="C319" s="290">
        <v>50</v>
      </c>
      <c r="D319" s="290">
        <v>14000</v>
      </c>
      <c r="E319" s="290">
        <v>38</v>
      </c>
      <c r="F319" s="290">
        <v>0.34</v>
      </c>
    </row>
    <row r="320" spans="1:6">
      <c r="A320" s="290" t="s">
        <v>637</v>
      </c>
      <c r="B320" s="290" t="s">
        <v>636</v>
      </c>
      <c r="C320" s="290">
        <v>50</v>
      </c>
      <c r="D320" s="290">
        <v>15000</v>
      </c>
      <c r="E320" s="290">
        <v>41</v>
      </c>
      <c r="F320" s="290">
        <v>0.4</v>
      </c>
    </row>
    <row r="321" spans="1:8">
      <c r="A321" s="290" t="s">
        <v>637</v>
      </c>
      <c r="B321" s="290" t="s">
        <v>636</v>
      </c>
      <c r="C321" s="290">
        <v>50</v>
      </c>
      <c r="D321" s="290">
        <v>16000</v>
      </c>
      <c r="E321" s="290">
        <v>45</v>
      </c>
      <c r="F321" s="290">
        <v>0.45</v>
      </c>
    </row>
    <row r="322" spans="1:8">
      <c r="A322" s="290" t="s">
        <v>637</v>
      </c>
      <c r="B322" s="290" t="s">
        <v>636</v>
      </c>
      <c r="C322" s="290">
        <v>50</v>
      </c>
      <c r="D322" s="290">
        <v>17000</v>
      </c>
      <c r="E322" s="290">
        <v>52</v>
      </c>
      <c r="F322" s="290">
        <v>0.56000000000000005</v>
      </c>
    </row>
    <row r="323" spans="1:8">
      <c r="A323" s="290" t="s">
        <v>637</v>
      </c>
      <c r="B323" s="290" t="s">
        <v>636</v>
      </c>
      <c r="C323" s="290">
        <v>50</v>
      </c>
      <c r="D323" s="290">
        <v>18000</v>
      </c>
      <c r="E323" s="290">
        <v>57</v>
      </c>
      <c r="F323" s="290">
        <v>0.8</v>
      </c>
    </row>
    <row r="324" spans="1:8">
      <c r="A324" s="290" t="s">
        <v>637</v>
      </c>
      <c r="B324" s="290" t="s">
        <v>636</v>
      </c>
      <c r="C324" s="290">
        <v>50</v>
      </c>
      <c r="D324" s="290">
        <v>19000</v>
      </c>
      <c r="E324" s="290">
        <v>67</v>
      </c>
      <c r="F324" s="290">
        <v>1.8</v>
      </c>
    </row>
    <row r="325" spans="1:8">
      <c r="A325" s="290" t="s">
        <v>637</v>
      </c>
      <c r="B325" s="290" t="s">
        <v>636</v>
      </c>
      <c r="C325" s="290">
        <v>50</v>
      </c>
      <c r="D325" s="290">
        <v>20000</v>
      </c>
      <c r="E325" s="290">
        <v>72</v>
      </c>
      <c r="F325" s="290">
        <v>5</v>
      </c>
    </row>
    <row r="326" spans="1:8" ht="17.25" thickBot="1">
      <c r="A326" s="291" t="s">
        <v>637</v>
      </c>
      <c r="B326" s="291" t="s">
        <v>636</v>
      </c>
      <c r="C326" s="291">
        <v>50</v>
      </c>
      <c r="D326" s="291">
        <v>21000</v>
      </c>
      <c r="E326" s="291">
        <v>78</v>
      </c>
      <c r="F326" s="291">
        <v>10</v>
      </c>
      <c r="G326" s="195" t="s">
        <v>645</v>
      </c>
    </row>
    <row r="327" spans="1:8" ht="17.25" thickTop="1">
      <c r="A327" s="286" t="s">
        <v>637</v>
      </c>
      <c r="B327" s="286" t="s">
        <v>636</v>
      </c>
      <c r="C327" s="286">
        <v>60</v>
      </c>
      <c r="D327" s="286">
        <v>10</v>
      </c>
      <c r="E327" s="286">
        <v>82</v>
      </c>
      <c r="F327" s="286">
        <v>1.8500000000000001E-3</v>
      </c>
      <c r="G327">
        <f>E327/E292</f>
        <v>1</v>
      </c>
      <c r="H327">
        <f>F327/F292</f>
        <v>1</v>
      </c>
    </row>
    <row r="328" spans="1:8">
      <c r="A328" s="286" t="s">
        <v>637</v>
      </c>
      <c r="B328" s="286" t="s">
        <v>636</v>
      </c>
      <c r="C328" s="286">
        <v>60</v>
      </c>
      <c r="D328" s="286">
        <v>20</v>
      </c>
      <c r="E328" s="286">
        <v>81</v>
      </c>
      <c r="F328" s="286">
        <v>2.3E-3</v>
      </c>
      <c r="G328">
        <f t="shared" ref="G328:H328" si="6">E328/E293</f>
        <v>1</v>
      </c>
      <c r="H328">
        <f t="shared" si="6"/>
        <v>1</v>
      </c>
    </row>
    <row r="329" spans="1:8">
      <c r="A329" s="286" t="s">
        <v>637</v>
      </c>
      <c r="B329" s="286" t="s">
        <v>636</v>
      </c>
      <c r="C329" s="286">
        <v>60</v>
      </c>
      <c r="D329" s="286">
        <v>30</v>
      </c>
      <c r="E329" s="286">
        <v>80</v>
      </c>
      <c r="F329" s="286">
        <v>3.0999999999999999E-3</v>
      </c>
      <c r="G329">
        <f t="shared" ref="G329:H329" si="7">E329/E294</f>
        <v>1</v>
      </c>
      <c r="H329">
        <f t="shared" si="7"/>
        <v>1</v>
      </c>
    </row>
    <row r="330" spans="1:8">
      <c r="A330" s="286" t="s">
        <v>637</v>
      </c>
      <c r="B330" s="286" t="s">
        <v>636</v>
      </c>
      <c r="C330" s="286">
        <v>60</v>
      </c>
      <c r="D330" s="286">
        <v>40</v>
      </c>
      <c r="E330" s="286">
        <v>79</v>
      </c>
      <c r="F330" s="286">
        <v>3.8E-3</v>
      </c>
      <c r="G330">
        <f t="shared" ref="G330:H330" si="8">E330/E295</f>
        <v>1</v>
      </c>
      <c r="H330">
        <f t="shared" si="8"/>
        <v>1</v>
      </c>
    </row>
    <row r="331" spans="1:8">
      <c r="A331" s="286" t="s">
        <v>637</v>
      </c>
      <c r="B331" s="286" t="s">
        <v>636</v>
      </c>
      <c r="C331" s="286">
        <v>60</v>
      </c>
      <c r="D331" s="286">
        <v>50</v>
      </c>
      <c r="E331" s="286">
        <v>78.5</v>
      </c>
      <c r="F331" s="286">
        <v>4.4999999999999997E-3</v>
      </c>
      <c r="G331">
        <f t="shared" ref="G331:H331" si="9">E331/E296</f>
        <v>1</v>
      </c>
      <c r="H331">
        <f t="shared" si="9"/>
        <v>1</v>
      </c>
    </row>
    <row r="332" spans="1:8">
      <c r="A332" s="286" t="s">
        <v>637</v>
      </c>
      <c r="B332" s="286" t="s">
        <v>636</v>
      </c>
      <c r="C332" s="286">
        <v>60</v>
      </c>
      <c r="D332" s="286">
        <v>100</v>
      </c>
      <c r="E332" s="286">
        <v>75</v>
      </c>
      <c r="F332" s="286">
        <v>7.2500000000000004E-3</v>
      </c>
      <c r="G332">
        <f t="shared" ref="G332:H332" si="10">E332/E297</f>
        <v>1</v>
      </c>
      <c r="H332">
        <f t="shared" si="10"/>
        <v>1</v>
      </c>
    </row>
    <row r="333" spans="1:8">
      <c r="A333" s="286" t="s">
        <v>637</v>
      </c>
      <c r="B333" s="286" t="s">
        <v>636</v>
      </c>
      <c r="C333" s="286">
        <v>60</v>
      </c>
      <c r="D333" s="286">
        <v>200</v>
      </c>
      <c r="E333" s="286">
        <v>70</v>
      </c>
      <c r="F333" s="286">
        <v>1.2500000000000001E-2</v>
      </c>
      <c r="G333">
        <f t="shared" ref="G333:H333" si="11">E333/E298</f>
        <v>1</v>
      </c>
      <c r="H333">
        <f t="shared" si="11"/>
        <v>1</v>
      </c>
    </row>
    <row r="334" spans="1:8">
      <c r="A334" s="286" t="s">
        <v>637</v>
      </c>
      <c r="B334" s="286" t="s">
        <v>636</v>
      </c>
      <c r="C334" s="286">
        <v>60</v>
      </c>
      <c r="D334" s="286">
        <v>300</v>
      </c>
      <c r="E334" s="286">
        <v>66.5</v>
      </c>
      <c r="F334" s="286">
        <v>1.7000000000000001E-2</v>
      </c>
      <c r="G334">
        <f t="shared" ref="G334:H334" si="12">E334/E299</f>
        <v>1</v>
      </c>
      <c r="H334">
        <f t="shared" si="12"/>
        <v>1</v>
      </c>
    </row>
    <row r="335" spans="1:8">
      <c r="A335" s="286" t="s">
        <v>637</v>
      </c>
      <c r="B335" s="286" t="s">
        <v>636</v>
      </c>
      <c r="C335" s="286">
        <v>60</v>
      </c>
      <c r="D335" s="286">
        <v>400</v>
      </c>
      <c r="E335" s="286">
        <v>63.5</v>
      </c>
      <c r="F335" s="286">
        <v>2.1000000000000001E-2</v>
      </c>
      <c r="G335">
        <f t="shared" ref="G335:H335" si="13">E335/E300</f>
        <v>1</v>
      </c>
      <c r="H335">
        <f t="shared" si="13"/>
        <v>1</v>
      </c>
    </row>
    <row r="336" spans="1:8">
      <c r="A336" s="286" t="s">
        <v>637</v>
      </c>
      <c r="B336" s="286" t="s">
        <v>636</v>
      </c>
      <c r="C336" s="286">
        <v>60</v>
      </c>
      <c r="D336" s="286">
        <v>500</v>
      </c>
      <c r="E336" s="286">
        <v>61.5</v>
      </c>
      <c r="F336" s="286">
        <v>2.4500000000000001E-2</v>
      </c>
      <c r="G336">
        <f t="shared" ref="G336:H336" si="14">E336/E301</f>
        <v>1</v>
      </c>
      <c r="H336">
        <f t="shared" si="14"/>
        <v>1</v>
      </c>
    </row>
    <row r="337" spans="1:8">
      <c r="A337" s="286" t="s">
        <v>637</v>
      </c>
      <c r="B337" s="286" t="s">
        <v>636</v>
      </c>
      <c r="C337" s="286">
        <v>60</v>
      </c>
      <c r="D337" s="286">
        <v>600</v>
      </c>
      <c r="E337" s="286">
        <v>59.5</v>
      </c>
      <c r="F337" s="286">
        <v>2.8000000000000001E-2</v>
      </c>
      <c r="G337">
        <f t="shared" ref="G337:H337" si="15">E337/E302</f>
        <v>1</v>
      </c>
      <c r="H337">
        <f t="shared" si="15"/>
        <v>1</v>
      </c>
    </row>
    <row r="338" spans="1:8">
      <c r="A338" s="286" t="s">
        <v>637</v>
      </c>
      <c r="B338" s="286" t="s">
        <v>636</v>
      </c>
      <c r="C338" s="286">
        <v>60</v>
      </c>
      <c r="D338" s="286">
        <v>700</v>
      </c>
      <c r="E338" s="286">
        <v>58</v>
      </c>
      <c r="F338" s="286">
        <v>3.15E-2</v>
      </c>
      <c r="G338">
        <f t="shared" ref="G338:H338" si="16">E338/E303</f>
        <v>1</v>
      </c>
      <c r="H338">
        <f t="shared" si="16"/>
        <v>1</v>
      </c>
    </row>
    <row r="339" spans="1:8">
      <c r="A339" s="286" t="s">
        <v>637</v>
      </c>
      <c r="B339" s="286" t="s">
        <v>636</v>
      </c>
      <c r="C339" s="286">
        <v>60</v>
      </c>
      <c r="D339" s="286">
        <v>800</v>
      </c>
      <c r="E339" s="286">
        <v>57</v>
      </c>
      <c r="F339" s="286">
        <v>3.5000000000000003E-2</v>
      </c>
      <c r="G339">
        <f t="shared" ref="G339:H339" si="17">E339/E304</f>
        <v>1</v>
      </c>
      <c r="H339">
        <f t="shared" si="17"/>
        <v>1</v>
      </c>
    </row>
    <row r="340" spans="1:8">
      <c r="A340" s="286" t="s">
        <v>637</v>
      </c>
      <c r="B340" s="286" t="s">
        <v>636</v>
      </c>
      <c r="C340" s="286">
        <v>60</v>
      </c>
      <c r="D340" s="286">
        <v>900</v>
      </c>
      <c r="E340" s="286">
        <v>56</v>
      </c>
      <c r="F340" s="286">
        <v>3.7999999999999999E-2</v>
      </c>
      <c r="G340">
        <f t="shared" ref="G340:H340" si="18">E340/E305</f>
        <v>1</v>
      </c>
      <c r="H340">
        <f t="shared" si="18"/>
        <v>1</v>
      </c>
    </row>
    <row r="341" spans="1:8">
      <c r="A341" s="286" t="s">
        <v>637</v>
      </c>
      <c r="B341" s="286" t="s">
        <v>636</v>
      </c>
      <c r="C341" s="286">
        <v>60</v>
      </c>
      <c r="D341" s="286">
        <v>1000</v>
      </c>
      <c r="E341" s="286">
        <v>54.5</v>
      </c>
      <c r="F341" s="286">
        <v>4.1000000000000002E-2</v>
      </c>
      <c r="G341">
        <f t="shared" ref="G341:H341" si="19">E341/E306</f>
        <v>1</v>
      </c>
      <c r="H341">
        <f t="shared" si="19"/>
        <v>1</v>
      </c>
    </row>
    <row r="342" spans="1:8">
      <c r="A342" s="286" t="s">
        <v>637</v>
      </c>
      <c r="B342" s="286" t="s">
        <v>636</v>
      </c>
      <c r="C342" s="286">
        <v>60</v>
      </c>
      <c r="D342" s="286">
        <v>2000</v>
      </c>
      <c r="E342" s="286">
        <v>46.5</v>
      </c>
      <c r="F342" s="286">
        <v>6.9000000000000006E-2</v>
      </c>
      <c r="G342">
        <f t="shared" ref="G342:H342" si="20">E342/E307</f>
        <v>1</v>
      </c>
      <c r="H342">
        <f t="shared" si="20"/>
        <v>1</v>
      </c>
    </row>
    <row r="343" spans="1:8">
      <c r="A343" s="286" t="s">
        <v>637</v>
      </c>
      <c r="B343" s="286" t="s">
        <v>636</v>
      </c>
      <c r="C343" s="286">
        <v>60</v>
      </c>
      <c r="D343" s="286">
        <v>3000</v>
      </c>
      <c r="E343" s="286">
        <v>41.5</v>
      </c>
      <c r="F343" s="286">
        <v>9.1999999999999998E-2</v>
      </c>
      <c r="G343">
        <f t="shared" ref="G343:H343" si="21">E343/E308</f>
        <v>1</v>
      </c>
      <c r="H343">
        <f t="shared" si="21"/>
        <v>1</v>
      </c>
    </row>
    <row r="344" spans="1:8">
      <c r="A344" s="286" t="s">
        <v>637</v>
      </c>
      <c r="B344" s="286" t="s">
        <v>636</v>
      </c>
      <c r="C344" s="286">
        <v>60</v>
      </c>
      <c r="D344" s="286">
        <v>4000</v>
      </c>
      <c r="E344" s="286">
        <v>36.5</v>
      </c>
      <c r="F344" s="286">
        <v>0.115</v>
      </c>
      <c r="G344">
        <f t="shared" ref="G344:H344" si="22">E344/E309</f>
        <v>1</v>
      </c>
      <c r="H344">
        <f t="shared" si="22"/>
        <v>1</v>
      </c>
    </row>
    <row r="345" spans="1:8">
      <c r="A345" s="286" t="s">
        <v>637</v>
      </c>
      <c r="B345" s="286" t="s">
        <v>636</v>
      </c>
      <c r="C345" s="286">
        <v>60</v>
      </c>
      <c r="D345" s="286">
        <v>5000</v>
      </c>
      <c r="E345" s="286">
        <v>34.5</v>
      </c>
      <c r="F345" s="286">
        <v>0.13500000000000001</v>
      </c>
      <c r="G345">
        <f t="shared" ref="G345:H345" si="23">E345/E310</f>
        <v>1</v>
      </c>
      <c r="H345">
        <f t="shared" si="23"/>
        <v>1</v>
      </c>
    </row>
    <row r="346" spans="1:8">
      <c r="A346" s="286" t="s">
        <v>637</v>
      </c>
      <c r="B346" s="286" t="s">
        <v>636</v>
      </c>
      <c r="C346" s="286">
        <v>60</v>
      </c>
      <c r="D346" s="286">
        <v>6000</v>
      </c>
      <c r="E346" s="286">
        <v>32.5</v>
      </c>
      <c r="F346" s="286">
        <v>0.152</v>
      </c>
      <c r="G346">
        <f t="shared" ref="G346:H346" si="24">E346/E311</f>
        <v>1</v>
      </c>
      <c r="H346">
        <f t="shared" si="24"/>
        <v>1</v>
      </c>
    </row>
    <row r="347" spans="1:8">
      <c r="A347" s="286" t="s">
        <v>637</v>
      </c>
      <c r="B347" s="286" t="s">
        <v>636</v>
      </c>
      <c r="C347" s="286">
        <v>60</v>
      </c>
      <c r="D347" s="286">
        <v>7000</v>
      </c>
      <c r="E347" s="286">
        <v>31.5</v>
      </c>
      <c r="F347" s="286">
        <v>0.17</v>
      </c>
      <c r="G347">
        <f t="shared" ref="G347:H347" si="25">E347/E312</f>
        <v>1</v>
      </c>
      <c r="H347">
        <f t="shared" si="25"/>
        <v>1</v>
      </c>
    </row>
    <row r="348" spans="1:8">
      <c r="A348" s="286" t="s">
        <v>637</v>
      </c>
      <c r="B348" s="286" t="s">
        <v>636</v>
      </c>
      <c r="C348" s="286">
        <v>60</v>
      </c>
      <c r="D348" s="286">
        <v>8000</v>
      </c>
      <c r="E348" s="286">
        <v>30.5</v>
      </c>
      <c r="F348" s="286">
        <v>0.19</v>
      </c>
      <c r="G348">
        <f t="shared" ref="G348:H348" si="26">E348/E313</f>
        <v>1</v>
      </c>
      <c r="H348">
        <f t="shared" si="26"/>
        <v>1</v>
      </c>
    </row>
    <row r="349" spans="1:8">
      <c r="A349" s="286" t="s">
        <v>637</v>
      </c>
      <c r="B349" s="286" t="s">
        <v>636</v>
      </c>
      <c r="C349" s="286">
        <v>60</v>
      </c>
      <c r="D349" s="286">
        <v>9000</v>
      </c>
      <c r="E349" s="286">
        <v>30</v>
      </c>
      <c r="F349" s="286">
        <v>0.21</v>
      </c>
      <c r="G349">
        <f t="shared" ref="G349:H349" si="27">E349/E314</f>
        <v>1</v>
      </c>
      <c r="H349">
        <f t="shared" si="27"/>
        <v>1</v>
      </c>
    </row>
    <row r="350" spans="1:8">
      <c r="A350" s="286" t="s">
        <v>637</v>
      </c>
      <c r="B350" s="286" t="s">
        <v>636</v>
      </c>
      <c r="C350" s="286">
        <v>60</v>
      </c>
      <c r="D350" s="286">
        <v>10000</v>
      </c>
      <c r="E350" s="286">
        <v>30.5</v>
      </c>
      <c r="F350" s="286">
        <v>0.22500000000000001</v>
      </c>
      <c r="G350">
        <f t="shared" ref="G350:H350" si="28">E350/E315</f>
        <v>1</v>
      </c>
      <c r="H350">
        <f t="shared" si="28"/>
        <v>1</v>
      </c>
    </row>
    <row r="351" spans="1:8">
      <c r="A351" s="286" t="s">
        <v>637</v>
      </c>
      <c r="B351" s="286" t="s">
        <v>636</v>
      </c>
      <c r="C351" s="286">
        <v>60</v>
      </c>
      <c r="D351" s="286">
        <v>11000</v>
      </c>
      <c r="E351" s="286">
        <v>32</v>
      </c>
      <c r="F351" s="286">
        <v>0.25</v>
      </c>
      <c r="G351">
        <f t="shared" ref="G351:H351" si="29">E351/E316</f>
        <v>1</v>
      </c>
      <c r="H351">
        <f t="shared" si="29"/>
        <v>1</v>
      </c>
    </row>
    <row r="352" spans="1:8">
      <c r="A352" s="286" t="s">
        <v>637</v>
      </c>
      <c r="B352" s="286" t="s">
        <v>636</v>
      </c>
      <c r="C352" s="286">
        <v>60</v>
      </c>
      <c r="D352" s="286">
        <v>12000</v>
      </c>
      <c r="E352" s="286">
        <v>33</v>
      </c>
      <c r="F352" s="286">
        <v>0.27</v>
      </c>
      <c r="G352">
        <f t="shared" ref="G352:H352" si="30">E352/E317</f>
        <v>1</v>
      </c>
      <c r="H352">
        <f t="shared" si="30"/>
        <v>1</v>
      </c>
    </row>
    <row r="353" spans="1:8">
      <c r="A353" s="286" t="s">
        <v>637</v>
      </c>
      <c r="B353" s="286" t="s">
        <v>636</v>
      </c>
      <c r="C353" s="286">
        <v>60</v>
      </c>
      <c r="D353" s="286">
        <v>13000</v>
      </c>
      <c r="E353" s="286">
        <v>35.5</v>
      </c>
      <c r="F353" s="286">
        <v>0.3</v>
      </c>
      <c r="G353">
        <f t="shared" ref="G353:H353" si="31">E353/E318</f>
        <v>1</v>
      </c>
      <c r="H353">
        <f t="shared" si="31"/>
        <v>1</v>
      </c>
    </row>
    <row r="354" spans="1:8">
      <c r="A354" s="286" t="s">
        <v>637</v>
      </c>
      <c r="B354" s="286" t="s">
        <v>636</v>
      </c>
      <c r="C354" s="286">
        <v>60</v>
      </c>
      <c r="D354" s="286">
        <v>14000</v>
      </c>
      <c r="E354" s="286">
        <v>38</v>
      </c>
      <c r="F354" s="286">
        <v>0.34</v>
      </c>
      <c r="G354">
        <f t="shared" ref="G354:H354" si="32">E354/E319</f>
        <v>1</v>
      </c>
      <c r="H354">
        <f t="shared" si="32"/>
        <v>1</v>
      </c>
    </row>
    <row r="355" spans="1:8">
      <c r="A355" s="286" t="s">
        <v>637</v>
      </c>
      <c r="B355" s="286" t="s">
        <v>636</v>
      </c>
      <c r="C355" s="286">
        <v>60</v>
      </c>
      <c r="D355" s="286">
        <v>15000</v>
      </c>
      <c r="E355" s="286">
        <v>41</v>
      </c>
      <c r="F355" s="286">
        <v>0.4</v>
      </c>
      <c r="G355">
        <f t="shared" ref="G355:H355" si="33">E355/E320</f>
        <v>1</v>
      </c>
      <c r="H355">
        <f t="shared" si="33"/>
        <v>1</v>
      </c>
    </row>
    <row r="356" spans="1:8">
      <c r="A356" s="286" t="s">
        <v>637</v>
      </c>
      <c r="B356" s="286" t="s">
        <v>636</v>
      </c>
      <c r="C356" s="286">
        <v>60</v>
      </c>
      <c r="D356" s="286">
        <v>16000</v>
      </c>
      <c r="E356" s="286">
        <v>45</v>
      </c>
      <c r="F356" s="286">
        <v>0.45</v>
      </c>
      <c r="G356">
        <f t="shared" ref="G356:H356" si="34">E356/E321</f>
        <v>1</v>
      </c>
      <c r="H356">
        <f t="shared" si="34"/>
        <v>1</v>
      </c>
    </row>
    <row r="357" spans="1:8">
      <c r="A357" s="286" t="s">
        <v>637</v>
      </c>
      <c r="B357" s="286" t="s">
        <v>636</v>
      </c>
      <c r="C357" s="286">
        <v>60</v>
      </c>
      <c r="D357" s="286">
        <v>17000</v>
      </c>
      <c r="E357" s="286">
        <v>52</v>
      </c>
      <c r="F357" s="286">
        <v>0.56000000000000005</v>
      </c>
      <c r="G357">
        <f t="shared" ref="G357:H357" si="35">E357/E322</f>
        <v>1</v>
      </c>
      <c r="H357">
        <f t="shared" si="35"/>
        <v>1</v>
      </c>
    </row>
    <row r="358" spans="1:8">
      <c r="A358" s="286" t="s">
        <v>637</v>
      </c>
      <c r="B358" s="286" t="s">
        <v>636</v>
      </c>
      <c r="C358" s="286">
        <v>60</v>
      </c>
      <c r="D358" s="286">
        <v>18000</v>
      </c>
      <c r="E358" s="286">
        <v>57</v>
      </c>
      <c r="F358" s="286">
        <v>0.8</v>
      </c>
      <c r="G358">
        <f t="shared" ref="G358:H358" si="36">E358/E323</f>
        <v>1</v>
      </c>
      <c r="H358">
        <f t="shared" si="36"/>
        <v>1</v>
      </c>
    </row>
    <row r="359" spans="1:8">
      <c r="A359" s="286" t="s">
        <v>637</v>
      </c>
      <c r="B359" s="286" t="s">
        <v>636</v>
      </c>
      <c r="C359" s="286">
        <v>60</v>
      </c>
      <c r="D359" s="286">
        <v>19000</v>
      </c>
      <c r="E359" s="286">
        <v>67</v>
      </c>
      <c r="F359" s="286">
        <v>1.8</v>
      </c>
      <c r="G359">
        <f t="shared" ref="G359:H359" si="37">E359/E324</f>
        <v>1</v>
      </c>
      <c r="H359">
        <f t="shared" si="37"/>
        <v>1</v>
      </c>
    </row>
    <row r="360" spans="1:8">
      <c r="A360" s="286" t="s">
        <v>637</v>
      </c>
      <c r="B360" s="286" t="s">
        <v>636</v>
      </c>
      <c r="C360" s="286">
        <v>60</v>
      </c>
      <c r="D360" s="286">
        <v>20000</v>
      </c>
      <c r="E360" s="286">
        <v>72</v>
      </c>
      <c r="F360" s="286">
        <v>5</v>
      </c>
      <c r="G360">
        <f t="shared" ref="G360:H360" si="38">E360/E325</f>
        <v>1</v>
      </c>
      <c r="H360">
        <f t="shared" si="38"/>
        <v>1</v>
      </c>
    </row>
    <row r="361" spans="1:8" ht="17.25" thickBot="1">
      <c r="A361" s="287" t="s">
        <v>637</v>
      </c>
      <c r="B361" s="287" t="s">
        <v>636</v>
      </c>
      <c r="C361" s="287">
        <v>60</v>
      </c>
      <c r="D361" s="287">
        <v>21000</v>
      </c>
      <c r="E361" s="287">
        <v>78</v>
      </c>
      <c r="F361" s="287">
        <v>10</v>
      </c>
      <c r="G361">
        <f t="shared" ref="G361:H361" si="39">E361/E326</f>
        <v>1</v>
      </c>
      <c r="H361">
        <f t="shared" si="39"/>
        <v>1</v>
      </c>
    </row>
    <row r="362" spans="1:8" ht="17.25" thickTop="1">
      <c r="A362" s="288" t="s">
        <v>635</v>
      </c>
      <c r="B362" s="288" t="s">
        <v>638</v>
      </c>
      <c r="C362" s="288">
        <v>50</v>
      </c>
      <c r="D362" s="288">
        <v>200</v>
      </c>
      <c r="E362" s="288">
        <v>48</v>
      </c>
      <c r="F362" s="288">
        <v>1.8</v>
      </c>
    </row>
    <row r="363" spans="1:8">
      <c r="A363" s="288" t="s">
        <v>635</v>
      </c>
      <c r="B363" s="288" t="s">
        <v>638</v>
      </c>
      <c r="C363" s="288">
        <v>50</v>
      </c>
      <c r="D363" s="288">
        <v>250</v>
      </c>
      <c r="E363" s="288">
        <v>70</v>
      </c>
      <c r="F363" s="288">
        <v>2</v>
      </c>
    </row>
    <row r="364" spans="1:8">
      <c r="A364" s="288" t="s">
        <v>635</v>
      </c>
      <c r="B364" s="288" t="s">
        <v>638</v>
      </c>
      <c r="C364" s="288">
        <v>50</v>
      </c>
      <c r="D364" s="288">
        <v>300</v>
      </c>
      <c r="E364" s="288">
        <v>120</v>
      </c>
      <c r="F364" s="288">
        <v>2.2999999999999998</v>
      </c>
    </row>
    <row r="365" spans="1:8">
      <c r="A365" s="288" t="s">
        <v>635</v>
      </c>
      <c r="B365" s="288" t="s">
        <v>638</v>
      </c>
      <c r="C365" s="288">
        <v>50</v>
      </c>
      <c r="D365" s="288">
        <v>400</v>
      </c>
      <c r="E365" s="288">
        <v>210</v>
      </c>
      <c r="F365" s="288">
        <v>3</v>
      </c>
    </row>
    <row r="366" spans="1:8">
      <c r="A366" s="288" t="s">
        <v>635</v>
      </c>
      <c r="B366" s="288" t="s">
        <v>638</v>
      </c>
      <c r="C366" s="288">
        <v>50</v>
      </c>
      <c r="D366" s="288">
        <v>500</v>
      </c>
      <c r="E366" s="288">
        <v>330</v>
      </c>
      <c r="F366" s="288">
        <v>3.5</v>
      </c>
    </row>
    <row r="367" spans="1:8">
      <c r="A367" s="288" t="s">
        <v>635</v>
      </c>
      <c r="B367" s="288" t="s">
        <v>638</v>
      </c>
      <c r="C367" s="288">
        <v>50</v>
      </c>
      <c r="D367" s="288">
        <v>600</v>
      </c>
      <c r="E367" s="288">
        <v>500</v>
      </c>
      <c r="F367" s="288">
        <v>4</v>
      </c>
    </row>
    <row r="368" spans="1:8">
      <c r="A368" s="288" t="s">
        <v>635</v>
      </c>
      <c r="B368" s="288" t="s">
        <v>638</v>
      </c>
      <c r="C368" s="288">
        <v>50</v>
      </c>
      <c r="D368" s="288">
        <v>700</v>
      </c>
      <c r="E368" s="288">
        <v>650</v>
      </c>
      <c r="F368" s="288">
        <v>4.7</v>
      </c>
    </row>
    <row r="369" spans="1:6">
      <c r="A369" s="288" t="s">
        <v>635</v>
      </c>
      <c r="B369" s="288" t="s">
        <v>638</v>
      </c>
      <c r="C369" s="288">
        <v>50</v>
      </c>
      <c r="D369" s="288">
        <v>800</v>
      </c>
      <c r="E369" s="288">
        <v>850</v>
      </c>
      <c r="F369" s="288">
        <v>5.0999999999999996</v>
      </c>
    </row>
    <row r="370" spans="1:6">
      <c r="A370" s="288" t="s">
        <v>635</v>
      </c>
      <c r="B370" s="288" t="s">
        <v>638</v>
      </c>
      <c r="C370" s="288">
        <v>50</v>
      </c>
      <c r="D370" s="288">
        <v>900</v>
      </c>
      <c r="E370" s="288">
        <v>1200</v>
      </c>
      <c r="F370" s="288">
        <v>5.8</v>
      </c>
    </row>
    <row r="371" spans="1:6">
      <c r="A371" s="288" t="s">
        <v>635</v>
      </c>
      <c r="B371" s="288" t="s">
        <v>638</v>
      </c>
      <c r="C371" s="288">
        <v>50</v>
      </c>
      <c r="D371" s="288">
        <v>1000</v>
      </c>
      <c r="E371" s="288">
        <v>1500</v>
      </c>
      <c r="F371" s="288">
        <v>6</v>
      </c>
    </row>
    <row r="372" spans="1:6">
      <c r="A372" s="288" t="s">
        <v>635</v>
      </c>
      <c r="B372" s="288" t="s">
        <v>638</v>
      </c>
      <c r="C372" s="288">
        <v>50</v>
      </c>
      <c r="D372" s="288">
        <v>2000</v>
      </c>
      <c r="E372" s="288">
        <v>5500</v>
      </c>
      <c r="F372" s="288">
        <v>10</v>
      </c>
    </row>
    <row r="373" spans="1:6">
      <c r="A373" s="288" t="s">
        <v>635</v>
      </c>
      <c r="B373" s="288" t="s">
        <v>638</v>
      </c>
      <c r="C373" s="288">
        <v>50</v>
      </c>
      <c r="D373" s="288">
        <v>3000</v>
      </c>
      <c r="E373" s="288">
        <v>12000</v>
      </c>
      <c r="F373" s="288">
        <v>16</v>
      </c>
    </row>
    <row r="374" spans="1:6">
      <c r="A374" s="288" t="s">
        <v>635</v>
      </c>
      <c r="B374" s="288" t="s">
        <v>638</v>
      </c>
      <c r="C374" s="288">
        <v>50</v>
      </c>
      <c r="D374" s="288">
        <v>4000</v>
      </c>
      <c r="E374" s="288">
        <v>23000</v>
      </c>
      <c r="F374" s="288">
        <v>19</v>
      </c>
    </row>
    <row r="375" spans="1:6">
      <c r="A375" s="288" t="s">
        <v>635</v>
      </c>
      <c r="B375" s="288" t="s">
        <v>638</v>
      </c>
      <c r="C375" s="288">
        <v>50</v>
      </c>
      <c r="D375" s="288">
        <v>5000</v>
      </c>
      <c r="E375" s="288">
        <v>36000</v>
      </c>
      <c r="F375" s="288">
        <v>25</v>
      </c>
    </row>
    <row r="376" spans="1:6">
      <c r="A376" s="288" t="s">
        <v>635</v>
      </c>
      <c r="B376" s="288" t="s">
        <v>638</v>
      </c>
      <c r="C376" s="288">
        <v>50</v>
      </c>
      <c r="D376" s="288">
        <v>6000</v>
      </c>
      <c r="E376" s="288">
        <v>52000</v>
      </c>
      <c r="F376" s="288">
        <v>48</v>
      </c>
    </row>
    <row r="377" spans="1:6">
      <c r="A377" s="288" t="s">
        <v>635</v>
      </c>
      <c r="B377" s="288" t="s">
        <v>638</v>
      </c>
      <c r="C377" s="288">
        <v>50</v>
      </c>
      <c r="D377" s="288">
        <v>7000</v>
      </c>
      <c r="E377" s="288">
        <v>72000</v>
      </c>
      <c r="F377" s="288">
        <v>60</v>
      </c>
    </row>
    <row r="378" spans="1:6">
      <c r="A378" s="288" t="s">
        <v>635</v>
      </c>
      <c r="B378" s="288" t="s">
        <v>638</v>
      </c>
      <c r="C378" s="288">
        <v>60</v>
      </c>
      <c r="D378" s="288">
        <v>200</v>
      </c>
      <c r="E378" s="288">
        <v>80</v>
      </c>
      <c r="F378" s="288">
        <v>2.2999999999999998</v>
      </c>
    </row>
    <row r="379" spans="1:6">
      <c r="A379" s="288" t="s">
        <v>635</v>
      </c>
      <c r="B379" s="288" t="s">
        <v>638</v>
      </c>
      <c r="C379" s="288">
        <v>60</v>
      </c>
      <c r="D379" s="288">
        <v>250</v>
      </c>
      <c r="E379" s="288">
        <v>120</v>
      </c>
      <c r="F379" s="288">
        <v>2.9</v>
      </c>
    </row>
    <row r="380" spans="1:6">
      <c r="A380" s="288" t="s">
        <v>635</v>
      </c>
      <c r="B380" s="288" t="s">
        <v>638</v>
      </c>
      <c r="C380" s="288">
        <v>60</v>
      </c>
      <c r="D380" s="288">
        <v>300</v>
      </c>
      <c r="E380" s="288">
        <v>170</v>
      </c>
      <c r="F380" s="288">
        <v>3.5</v>
      </c>
    </row>
    <row r="381" spans="1:6">
      <c r="A381" s="288" t="s">
        <v>635</v>
      </c>
      <c r="B381" s="288" t="s">
        <v>638</v>
      </c>
      <c r="C381" s="288">
        <v>60</v>
      </c>
      <c r="D381" s="288">
        <v>400</v>
      </c>
      <c r="E381" s="288">
        <v>300</v>
      </c>
      <c r="F381" s="288">
        <v>4.2</v>
      </c>
    </row>
    <row r="382" spans="1:6">
      <c r="A382" s="288" t="s">
        <v>635</v>
      </c>
      <c r="B382" s="288" t="s">
        <v>638</v>
      </c>
      <c r="C382" s="288">
        <v>60</v>
      </c>
      <c r="D382" s="288">
        <v>500</v>
      </c>
      <c r="E382" s="288">
        <v>480</v>
      </c>
      <c r="F382" s="288">
        <v>5.2</v>
      </c>
    </row>
    <row r="383" spans="1:6">
      <c r="A383" s="288" t="s">
        <v>635</v>
      </c>
      <c r="B383" s="288" t="s">
        <v>638</v>
      </c>
      <c r="C383" s="288">
        <v>60</v>
      </c>
      <c r="D383" s="288">
        <v>600</v>
      </c>
      <c r="E383" s="288">
        <v>700</v>
      </c>
      <c r="F383" s="288">
        <v>6.1</v>
      </c>
    </row>
    <row r="384" spans="1:6">
      <c r="A384" s="288" t="s">
        <v>635</v>
      </c>
      <c r="B384" s="288" t="s">
        <v>638</v>
      </c>
      <c r="C384" s="288">
        <v>60</v>
      </c>
      <c r="D384" s="288">
        <v>700</v>
      </c>
      <c r="E384" s="288">
        <v>930</v>
      </c>
      <c r="F384" s="288">
        <v>7</v>
      </c>
    </row>
    <row r="385" spans="1:6">
      <c r="A385" s="288" t="s">
        <v>635</v>
      </c>
      <c r="B385" s="288" t="s">
        <v>638</v>
      </c>
      <c r="C385" s="288">
        <v>60</v>
      </c>
      <c r="D385" s="288">
        <v>800</v>
      </c>
      <c r="E385" s="288">
        <v>1300</v>
      </c>
      <c r="F385" s="288">
        <v>7.9</v>
      </c>
    </row>
    <row r="386" spans="1:6">
      <c r="A386" s="288" t="s">
        <v>635</v>
      </c>
      <c r="B386" s="288" t="s">
        <v>638</v>
      </c>
      <c r="C386" s="288">
        <v>60</v>
      </c>
      <c r="D386" s="288">
        <v>900</v>
      </c>
      <c r="E386" s="288">
        <v>1600</v>
      </c>
      <c r="F386" s="288">
        <v>8.5</v>
      </c>
    </row>
    <row r="387" spans="1:6">
      <c r="A387" s="288" t="s">
        <v>635</v>
      </c>
      <c r="B387" s="288" t="s">
        <v>638</v>
      </c>
      <c r="C387" s="288">
        <v>60</v>
      </c>
      <c r="D387" s="288">
        <v>1000</v>
      </c>
      <c r="E387" s="288">
        <v>1800</v>
      </c>
      <c r="F387" s="288">
        <v>9</v>
      </c>
    </row>
    <row r="388" spans="1:6">
      <c r="A388" s="288" t="s">
        <v>635</v>
      </c>
      <c r="B388" s="288" t="s">
        <v>638</v>
      </c>
      <c r="C388" s="288">
        <v>60</v>
      </c>
      <c r="D388" s="288">
        <v>2000</v>
      </c>
      <c r="E388" s="288">
        <v>7200</v>
      </c>
      <c r="F388" s="288">
        <v>16</v>
      </c>
    </row>
    <row r="389" spans="1:6">
      <c r="A389" s="288" t="s">
        <v>635</v>
      </c>
      <c r="B389" s="288" t="s">
        <v>638</v>
      </c>
      <c r="C389" s="288">
        <v>60</v>
      </c>
      <c r="D389" s="288">
        <v>3000</v>
      </c>
      <c r="E389" s="288">
        <v>17000</v>
      </c>
      <c r="F389" s="288">
        <v>24</v>
      </c>
    </row>
    <row r="390" spans="1:6">
      <c r="A390" s="288" t="s">
        <v>635</v>
      </c>
      <c r="B390" s="288" t="s">
        <v>638</v>
      </c>
      <c r="C390" s="288">
        <v>60</v>
      </c>
      <c r="D390" s="288">
        <v>4000</v>
      </c>
      <c r="E390" s="288">
        <v>28000</v>
      </c>
      <c r="F390" s="288">
        <v>36</v>
      </c>
    </row>
    <row r="391" spans="1:6">
      <c r="A391" s="288" t="s">
        <v>635</v>
      </c>
      <c r="B391" s="288" t="s">
        <v>638</v>
      </c>
      <c r="C391" s="288">
        <v>60</v>
      </c>
      <c r="D391" s="288">
        <v>5000</v>
      </c>
      <c r="E391" s="288">
        <v>43000</v>
      </c>
      <c r="F391" s="288">
        <v>60</v>
      </c>
    </row>
    <row r="392" spans="1:6">
      <c r="A392" s="288" t="s">
        <v>635</v>
      </c>
      <c r="B392" s="288" t="s">
        <v>638</v>
      </c>
      <c r="C392" s="288">
        <v>60</v>
      </c>
      <c r="D392" s="288">
        <v>6000</v>
      </c>
      <c r="E392" s="288">
        <v>60000</v>
      </c>
      <c r="F392" s="288">
        <v>120</v>
      </c>
    </row>
    <row r="393" spans="1:6">
      <c r="A393" s="288" t="s">
        <v>635</v>
      </c>
      <c r="B393" s="288" t="s">
        <v>638</v>
      </c>
      <c r="C393" s="288">
        <v>60</v>
      </c>
      <c r="D393" s="288">
        <v>7000</v>
      </c>
      <c r="E393" s="288">
        <v>81000</v>
      </c>
      <c r="F393" s="288">
        <v>300</v>
      </c>
    </row>
    <row r="394" spans="1:6">
      <c r="A394" s="288" t="s">
        <v>635</v>
      </c>
      <c r="B394" s="288" t="s">
        <v>639</v>
      </c>
      <c r="C394" s="288">
        <v>60</v>
      </c>
      <c r="D394" s="288">
        <v>280</v>
      </c>
      <c r="E394" s="288">
        <v>100</v>
      </c>
      <c r="F394" s="288">
        <v>3.8</v>
      </c>
    </row>
    <row r="395" spans="1:6">
      <c r="A395" s="288" t="s">
        <v>635</v>
      </c>
      <c r="B395" s="288" t="s">
        <v>639</v>
      </c>
      <c r="C395" s="288">
        <v>60</v>
      </c>
      <c r="D395" s="288">
        <v>300</v>
      </c>
      <c r="E395" s="288">
        <v>130</v>
      </c>
      <c r="F395" s="288">
        <v>4</v>
      </c>
    </row>
    <row r="396" spans="1:6">
      <c r="A396" s="288" t="s">
        <v>635</v>
      </c>
      <c r="B396" s="288" t="s">
        <v>639</v>
      </c>
      <c r="C396" s="288">
        <v>60</v>
      </c>
      <c r="D396" s="288">
        <v>400</v>
      </c>
      <c r="E396" s="288">
        <v>220</v>
      </c>
      <c r="F396" s="288">
        <v>4.8</v>
      </c>
    </row>
    <row r="397" spans="1:6">
      <c r="A397" s="288" t="s">
        <v>635</v>
      </c>
      <c r="B397" s="288" t="s">
        <v>639</v>
      </c>
      <c r="C397" s="288">
        <v>60</v>
      </c>
      <c r="D397" s="288">
        <v>500</v>
      </c>
      <c r="E397" s="288">
        <v>350</v>
      </c>
      <c r="F397" s="288">
        <v>5.7</v>
      </c>
    </row>
    <row r="398" spans="1:6">
      <c r="A398" s="288" t="s">
        <v>635</v>
      </c>
      <c r="B398" s="288" t="s">
        <v>639</v>
      </c>
      <c r="C398" s="288">
        <v>60</v>
      </c>
      <c r="D398" s="288">
        <v>600</v>
      </c>
      <c r="E398" s="288">
        <v>490</v>
      </c>
      <c r="F398" s="288">
        <v>6.4</v>
      </c>
    </row>
    <row r="399" spans="1:6">
      <c r="A399" s="288" t="s">
        <v>635</v>
      </c>
      <c r="B399" s="288" t="s">
        <v>639</v>
      </c>
      <c r="C399" s="288">
        <v>60</v>
      </c>
      <c r="D399" s="288">
        <v>700</v>
      </c>
      <c r="E399" s="288">
        <v>670</v>
      </c>
      <c r="F399" s="288">
        <v>7.2</v>
      </c>
    </row>
    <row r="400" spans="1:6">
      <c r="A400" s="288" t="s">
        <v>635</v>
      </c>
      <c r="B400" s="288" t="s">
        <v>639</v>
      </c>
      <c r="C400" s="288">
        <v>60</v>
      </c>
      <c r="D400" s="288">
        <v>800</v>
      </c>
      <c r="E400" s="288">
        <v>870</v>
      </c>
      <c r="F400" s="288">
        <v>7.7</v>
      </c>
    </row>
    <row r="401" spans="1:6">
      <c r="A401" s="288" t="s">
        <v>635</v>
      </c>
      <c r="B401" s="288" t="s">
        <v>639</v>
      </c>
      <c r="C401" s="288">
        <v>60</v>
      </c>
      <c r="D401" s="288">
        <v>900</v>
      </c>
      <c r="E401" s="288">
        <v>1200</v>
      </c>
      <c r="F401" s="288">
        <v>8</v>
      </c>
    </row>
    <row r="402" spans="1:6">
      <c r="A402" s="288" t="s">
        <v>635</v>
      </c>
      <c r="B402" s="288" t="s">
        <v>639</v>
      </c>
      <c r="C402" s="288">
        <v>60</v>
      </c>
      <c r="D402" s="288">
        <v>1000</v>
      </c>
      <c r="E402" s="288">
        <v>1500</v>
      </c>
      <c r="F402" s="288">
        <v>8.9</v>
      </c>
    </row>
    <row r="403" spans="1:6">
      <c r="A403" s="288" t="s">
        <v>635</v>
      </c>
      <c r="B403" s="288" t="s">
        <v>639</v>
      </c>
      <c r="C403" s="288">
        <v>60</v>
      </c>
      <c r="D403" s="288">
        <v>2000</v>
      </c>
      <c r="E403" s="288">
        <v>5500</v>
      </c>
      <c r="F403" s="288">
        <v>13</v>
      </c>
    </row>
    <row r="404" spans="1:6">
      <c r="A404" s="288" t="s">
        <v>635</v>
      </c>
      <c r="B404" s="288" t="s">
        <v>639</v>
      </c>
      <c r="C404" s="288">
        <v>60</v>
      </c>
      <c r="D404" s="288">
        <v>3000</v>
      </c>
      <c r="E404" s="288">
        <v>13000</v>
      </c>
      <c r="F404" s="288">
        <v>18</v>
      </c>
    </row>
    <row r="405" spans="1:6">
      <c r="A405" s="288" t="s">
        <v>635</v>
      </c>
      <c r="B405" s="288" t="s">
        <v>639</v>
      </c>
      <c r="C405" s="288">
        <v>60</v>
      </c>
      <c r="D405" s="288">
        <v>4000</v>
      </c>
      <c r="E405" s="288">
        <v>23000</v>
      </c>
      <c r="F405" s="288">
        <v>22</v>
      </c>
    </row>
    <row r="406" spans="1:6">
      <c r="A406" s="288" t="s">
        <v>635</v>
      </c>
      <c r="B406" s="288" t="s">
        <v>639</v>
      </c>
      <c r="C406" s="288">
        <v>60</v>
      </c>
      <c r="D406" s="288">
        <v>5000</v>
      </c>
      <c r="E406" s="288">
        <v>35000</v>
      </c>
      <c r="F406" s="288">
        <v>30</v>
      </c>
    </row>
    <row r="407" spans="1:6">
      <c r="A407" s="288" t="s">
        <v>635</v>
      </c>
      <c r="B407" s="288" t="s">
        <v>639</v>
      </c>
      <c r="C407" s="288">
        <v>60</v>
      </c>
      <c r="D407" s="288">
        <v>6000</v>
      </c>
      <c r="E407" s="288">
        <v>52000</v>
      </c>
      <c r="F407" s="288">
        <v>62</v>
      </c>
    </row>
    <row r="408" spans="1:6">
      <c r="A408" s="288" t="s">
        <v>635</v>
      </c>
      <c r="B408" s="288" t="s">
        <v>640</v>
      </c>
      <c r="C408" s="288">
        <v>50</v>
      </c>
      <c r="D408" s="288">
        <v>10</v>
      </c>
      <c r="E408" s="288">
        <v>1.2500000000000001E-2</v>
      </c>
      <c r="F408" s="288">
        <v>2.7E-4</v>
      </c>
    </row>
    <row r="409" spans="1:6">
      <c r="A409" s="288" t="s">
        <v>635</v>
      </c>
      <c r="B409" s="288" t="s">
        <v>640</v>
      </c>
      <c r="C409" s="288">
        <v>50</v>
      </c>
      <c r="D409" s="288">
        <v>20</v>
      </c>
      <c r="E409" s="288">
        <v>5.7000000000000002E-2</v>
      </c>
      <c r="F409" s="288">
        <v>5.0000000000000001E-4</v>
      </c>
    </row>
    <row r="410" spans="1:6">
      <c r="A410" s="288" t="s">
        <v>635</v>
      </c>
      <c r="B410" s="288" t="s">
        <v>640</v>
      </c>
      <c r="C410" s="288">
        <v>50</v>
      </c>
      <c r="D410" s="288">
        <v>30</v>
      </c>
      <c r="E410" s="288">
        <v>0.15</v>
      </c>
      <c r="F410" s="288">
        <v>6.9999999999999999E-4</v>
      </c>
    </row>
    <row r="411" spans="1:6">
      <c r="A411" s="288" t="s">
        <v>635</v>
      </c>
      <c r="B411" s="288" t="s">
        <v>640</v>
      </c>
      <c r="C411" s="288">
        <v>50</v>
      </c>
      <c r="D411" s="288">
        <v>40</v>
      </c>
      <c r="E411" s="288">
        <v>0.25</v>
      </c>
      <c r="F411" s="288">
        <v>8.8999999999999995E-4</v>
      </c>
    </row>
    <row r="412" spans="1:6">
      <c r="A412" s="288" t="s">
        <v>635</v>
      </c>
      <c r="B412" s="288" t="s">
        <v>640</v>
      </c>
      <c r="C412" s="288">
        <v>50</v>
      </c>
      <c r="D412" s="288">
        <v>50</v>
      </c>
      <c r="E412" s="288">
        <v>0.39</v>
      </c>
      <c r="F412" s="288">
        <v>1.15E-3</v>
      </c>
    </row>
    <row r="413" spans="1:6">
      <c r="A413" s="288" t="s">
        <v>635</v>
      </c>
      <c r="B413" s="288" t="s">
        <v>640</v>
      </c>
      <c r="C413" s="288">
        <v>50</v>
      </c>
      <c r="D413" s="288">
        <v>60</v>
      </c>
      <c r="E413" s="288">
        <v>0.54</v>
      </c>
      <c r="F413" s="288">
        <v>1.2999999999999999E-3</v>
      </c>
    </row>
    <row r="414" spans="1:6">
      <c r="A414" s="288" t="s">
        <v>635</v>
      </c>
      <c r="B414" s="288" t="s">
        <v>640</v>
      </c>
      <c r="C414" s="288">
        <v>50</v>
      </c>
      <c r="D414" s="288">
        <v>70</v>
      </c>
      <c r="E414" s="288">
        <v>0.66</v>
      </c>
      <c r="F414" s="288">
        <v>1.5E-3</v>
      </c>
    </row>
    <row r="415" spans="1:6">
      <c r="A415" s="288" t="s">
        <v>635</v>
      </c>
      <c r="B415" s="288" t="s">
        <v>640</v>
      </c>
      <c r="C415" s="288">
        <v>50</v>
      </c>
      <c r="D415" s="288">
        <v>80</v>
      </c>
      <c r="E415" s="288">
        <v>0.82</v>
      </c>
      <c r="F415" s="288">
        <v>1.6999999999999999E-3</v>
      </c>
    </row>
    <row r="416" spans="1:6">
      <c r="A416" s="288" t="s">
        <v>635</v>
      </c>
      <c r="B416" s="288" t="s">
        <v>640</v>
      </c>
      <c r="C416" s="288">
        <v>50</v>
      </c>
      <c r="D416" s="288">
        <v>90</v>
      </c>
      <c r="E416" s="288">
        <v>1.2</v>
      </c>
      <c r="F416" s="288">
        <v>1.8E-3</v>
      </c>
    </row>
    <row r="417" spans="1:6">
      <c r="A417" s="288" t="s">
        <v>635</v>
      </c>
      <c r="B417" s="288" t="s">
        <v>640</v>
      </c>
      <c r="C417" s="288">
        <v>50</v>
      </c>
      <c r="D417" s="288">
        <v>100</v>
      </c>
      <c r="E417" s="288">
        <v>1.4</v>
      </c>
      <c r="F417" s="288">
        <v>1.9499999999999999E-3</v>
      </c>
    </row>
    <row r="418" spans="1:6">
      <c r="A418" s="288" t="s">
        <v>635</v>
      </c>
      <c r="B418" s="288" t="s">
        <v>640</v>
      </c>
      <c r="C418" s="288">
        <v>50</v>
      </c>
      <c r="D418" s="288">
        <v>200</v>
      </c>
      <c r="E418" s="288">
        <v>5.0999999999999996</v>
      </c>
      <c r="F418" s="288">
        <v>3.3E-3</v>
      </c>
    </row>
    <row r="419" spans="1:6">
      <c r="A419" s="288" t="s">
        <v>635</v>
      </c>
      <c r="B419" s="288" t="s">
        <v>640</v>
      </c>
      <c r="C419" s="288">
        <v>50</v>
      </c>
      <c r="D419" s="288">
        <v>300</v>
      </c>
      <c r="E419" s="288">
        <v>12.5</v>
      </c>
      <c r="F419" s="288">
        <v>4.5999999999999999E-3</v>
      </c>
    </row>
    <row r="420" spans="1:6">
      <c r="A420" s="288" t="s">
        <v>635</v>
      </c>
      <c r="B420" s="288" t="s">
        <v>640</v>
      </c>
      <c r="C420" s="288">
        <v>50</v>
      </c>
      <c r="D420" s="288">
        <v>400</v>
      </c>
      <c r="E420" s="288">
        <v>21.9</v>
      </c>
      <c r="F420" s="288">
        <v>5.7999999999999996E-3</v>
      </c>
    </row>
    <row r="421" spans="1:6">
      <c r="A421" s="288" t="s">
        <v>635</v>
      </c>
      <c r="B421" s="288" t="s">
        <v>640</v>
      </c>
      <c r="C421" s="288">
        <v>50</v>
      </c>
      <c r="D421" s="288">
        <v>500</v>
      </c>
      <c r="E421" s="288">
        <v>35</v>
      </c>
      <c r="F421" s="288">
        <v>6.7999999999999996E-3</v>
      </c>
    </row>
    <row r="422" spans="1:6">
      <c r="A422" s="288" t="s">
        <v>635</v>
      </c>
      <c r="B422" s="288" t="s">
        <v>640</v>
      </c>
      <c r="C422" s="288">
        <v>50</v>
      </c>
      <c r="D422" s="288">
        <v>600</v>
      </c>
      <c r="E422" s="288">
        <v>50</v>
      </c>
      <c r="F422" s="288">
        <v>7.7000000000000002E-3</v>
      </c>
    </row>
    <row r="423" spans="1:6">
      <c r="A423" s="288" t="s">
        <v>635</v>
      </c>
      <c r="B423" s="288" t="s">
        <v>640</v>
      </c>
      <c r="C423" s="288">
        <v>50</v>
      </c>
      <c r="D423" s="288">
        <v>700</v>
      </c>
      <c r="E423" s="288">
        <v>66.2</v>
      </c>
      <c r="F423" s="288">
        <v>8.5000000000000006E-3</v>
      </c>
    </row>
    <row r="424" spans="1:6">
      <c r="A424" s="288" t="s">
        <v>635</v>
      </c>
      <c r="B424" s="288" t="s">
        <v>640</v>
      </c>
      <c r="C424" s="288">
        <v>50</v>
      </c>
      <c r="D424" s="288">
        <v>800</v>
      </c>
      <c r="E424" s="288">
        <v>88</v>
      </c>
      <c r="F424" s="288">
        <v>9.1999999999999998E-3</v>
      </c>
    </row>
    <row r="425" spans="1:6">
      <c r="A425" s="288" t="s">
        <v>635</v>
      </c>
      <c r="B425" s="288" t="s">
        <v>640</v>
      </c>
      <c r="C425" s="288">
        <v>50</v>
      </c>
      <c r="D425" s="288">
        <v>900</v>
      </c>
      <c r="E425" s="288">
        <v>115</v>
      </c>
      <c r="F425" s="288">
        <v>0.01</v>
      </c>
    </row>
    <row r="426" spans="1:6">
      <c r="A426" s="288" t="s">
        <v>635</v>
      </c>
      <c r="B426" s="288" t="s">
        <v>640</v>
      </c>
      <c r="C426" s="288">
        <v>50</v>
      </c>
      <c r="D426" s="288">
        <v>1000</v>
      </c>
      <c r="E426" s="288">
        <v>130.4</v>
      </c>
      <c r="F426" s="288">
        <v>1.06E-2</v>
      </c>
    </row>
    <row r="427" spans="1:6">
      <c r="A427" s="288" t="s">
        <v>635</v>
      </c>
      <c r="B427" s="288" t="s">
        <v>640</v>
      </c>
      <c r="C427" s="288">
        <v>50</v>
      </c>
      <c r="D427" s="288">
        <v>1500</v>
      </c>
      <c r="E427" s="288">
        <v>273.7</v>
      </c>
      <c r="F427" s="288">
        <v>1.34E-2</v>
      </c>
    </row>
    <row r="428" spans="1:6">
      <c r="A428" s="288" t="s">
        <v>635</v>
      </c>
      <c r="B428" s="288" t="s">
        <v>640</v>
      </c>
      <c r="C428" s="288">
        <v>50</v>
      </c>
      <c r="D428" s="288">
        <v>2000</v>
      </c>
      <c r="E428" s="288">
        <v>455.2</v>
      </c>
      <c r="F428" s="288">
        <v>1.55E-2</v>
      </c>
    </row>
    <row r="429" spans="1:6">
      <c r="A429" s="288" t="s">
        <v>635</v>
      </c>
      <c r="B429" s="288" t="s">
        <v>640</v>
      </c>
      <c r="C429" s="288">
        <v>50</v>
      </c>
      <c r="D429" s="288">
        <v>2500</v>
      </c>
      <c r="E429" s="288">
        <v>550</v>
      </c>
      <c r="F429" s="288">
        <v>1.7000000000000001E-2</v>
      </c>
    </row>
    <row r="430" spans="1:6">
      <c r="A430" s="288" t="s">
        <v>635</v>
      </c>
      <c r="B430" s="288" t="s">
        <v>640</v>
      </c>
      <c r="C430" s="288">
        <v>50</v>
      </c>
      <c r="D430" s="288">
        <v>3000</v>
      </c>
      <c r="E430" s="288">
        <v>902.3</v>
      </c>
      <c r="F430" s="288">
        <v>1.78E-2</v>
      </c>
    </row>
    <row r="431" spans="1:6">
      <c r="A431" s="288" t="s">
        <v>635</v>
      </c>
      <c r="B431" s="288" t="s">
        <v>640</v>
      </c>
      <c r="C431" s="288">
        <v>50</v>
      </c>
      <c r="D431" s="288">
        <v>3500</v>
      </c>
      <c r="E431" s="288">
        <v>1300</v>
      </c>
      <c r="F431" s="288">
        <v>1.9E-2</v>
      </c>
    </row>
    <row r="432" spans="1:6">
      <c r="A432" s="288" t="s">
        <v>635</v>
      </c>
      <c r="B432" s="288" t="s">
        <v>640</v>
      </c>
      <c r="C432" s="288">
        <v>50</v>
      </c>
      <c r="D432" s="288">
        <v>4000</v>
      </c>
      <c r="E432" s="288">
        <v>1519.2</v>
      </c>
      <c r="F432" s="288">
        <v>2.1100000000000001E-2</v>
      </c>
    </row>
    <row r="433" spans="1:6">
      <c r="A433" s="288" t="s">
        <v>635</v>
      </c>
      <c r="B433" s="288" t="s">
        <v>640</v>
      </c>
      <c r="C433" s="288">
        <v>50</v>
      </c>
      <c r="D433" s="288">
        <v>4500</v>
      </c>
      <c r="E433" s="288">
        <v>1800</v>
      </c>
      <c r="F433" s="288">
        <v>2.3E-2</v>
      </c>
    </row>
    <row r="434" spans="1:6">
      <c r="A434" s="288" t="s">
        <v>635</v>
      </c>
      <c r="B434" s="288" t="s">
        <v>640</v>
      </c>
      <c r="C434" s="288">
        <v>50</v>
      </c>
      <c r="D434" s="288">
        <v>5000</v>
      </c>
      <c r="E434" s="288">
        <v>2309.3000000000002</v>
      </c>
      <c r="F434" s="288">
        <v>2.52E-2</v>
      </c>
    </row>
    <row r="435" spans="1:6">
      <c r="A435" s="288" t="s">
        <v>635</v>
      </c>
      <c r="B435" s="288" t="s">
        <v>640</v>
      </c>
      <c r="C435" s="288">
        <v>50</v>
      </c>
      <c r="D435" s="288">
        <v>5500</v>
      </c>
      <c r="E435" s="288">
        <v>2900</v>
      </c>
      <c r="F435" s="288">
        <v>3.5000000000000003E-2</v>
      </c>
    </row>
    <row r="436" spans="1:6">
      <c r="A436" s="288" t="s">
        <v>635</v>
      </c>
      <c r="B436" s="288" t="s">
        <v>640</v>
      </c>
      <c r="C436" s="288">
        <v>50</v>
      </c>
      <c r="D436" s="288">
        <v>6000</v>
      </c>
      <c r="E436" s="288">
        <v>3332.5</v>
      </c>
      <c r="F436" s="288">
        <v>7.6100000000000001E-2</v>
      </c>
    </row>
    <row r="437" spans="1:6">
      <c r="A437" s="288" t="s">
        <v>635</v>
      </c>
      <c r="B437" s="288" t="s">
        <v>640</v>
      </c>
      <c r="C437" s="288">
        <v>50</v>
      </c>
      <c r="D437" s="288">
        <v>6500</v>
      </c>
      <c r="E437" s="288">
        <v>3800</v>
      </c>
      <c r="F437" s="288">
        <v>0.2</v>
      </c>
    </row>
    <row r="438" spans="1:6">
      <c r="A438" s="288" t="s">
        <v>635</v>
      </c>
      <c r="B438" s="288" t="s">
        <v>640</v>
      </c>
      <c r="C438" s="288">
        <v>50</v>
      </c>
      <c r="D438" s="288">
        <v>7000</v>
      </c>
      <c r="E438" s="288">
        <v>4365.3</v>
      </c>
      <c r="F438" s="288">
        <v>0.52480000000000004</v>
      </c>
    </row>
    <row r="439" spans="1:6">
      <c r="A439" s="288" t="s">
        <v>635</v>
      </c>
      <c r="B439" s="288" t="s">
        <v>640</v>
      </c>
      <c r="C439" s="288">
        <v>60</v>
      </c>
      <c r="D439" s="288">
        <v>10</v>
      </c>
      <c r="E439" s="288">
        <v>8.0999999999999996E-3</v>
      </c>
      <c r="F439" s="288">
        <v>2.3000000000000001E-4</v>
      </c>
    </row>
    <row r="440" spans="1:6">
      <c r="A440" s="288" t="s">
        <v>635</v>
      </c>
      <c r="B440" s="288" t="s">
        <v>640</v>
      </c>
      <c r="C440" s="288">
        <v>60</v>
      </c>
      <c r="D440" s="288">
        <v>20</v>
      </c>
      <c r="E440" s="288">
        <v>3.5999999999999997E-2</v>
      </c>
      <c r="F440" s="288">
        <v>4.8999999999999998E-4</v>
      </c>
    </row>
    <row r="441" spans="1:6">
      <c r="A441" s="288" t="s">
        <v>635</v>
      </c>
      <c r="B441" s="288" t="s">
        <v>640</v>
      </c>
      <c r="C441" s="288">
        <v>60</v>
      </c>
      <c r="D441" s="288">
        <v>30</v>
      </c>
      <c r="E441" s="288">
        <v>8.5000000000000006E-2</v>
      </c>
      <c r="F441" s="288">
        <v>7.5000000000000002E-4</v>
      </c>
    </row>
    <row r="442" spans="1:6">
      <c r="A442" s="288" t="s">
        <v>635</v>
      </c>
      <c r="B442" s="288" t="s">
        <v>640</v>
      </c>
      <c r="C442" s="288">
        <v>60</v>
      </c>
      <c r="D442" s="288">
        <v>40</v>
      </c>
      <c r="E442" s="288">
        <v>0.16</v>
      </c>
      <c r="F442" s="288">
        <v>1.1000000000000001E-3</v>
      </c>
    </row>
    <row r="443" spans="1:6">
      <c r="A443" s="288" t="s">
        <v>635</v>
      </c>
      <c r="B443" s="288" t="s">
        <v>640</v>
      </c>
      <c r="C443" s="288">
        <v>60</v>
      </c>
      <c r="D443" s="288">
        <v>50</v>
      </c>
      <c r="E443" s="288">
        <v>0.27</v>
      </c>
      <c r="F443" s="288">
        <v>1.4E-3</v>
      </c>
    </row>
    <row r="444" spans="1:6">
      <c r="A444" s="288" t="s">
        <v>635</v>
      </c>
      <c r="B444" s="288" t="s">
        <v>640</v>
      </c>
      <c r="C444" s="288">
        <v>60</v>
      </c>
      <c r="D444" s="288">
        <v>60</v>
      </c>
      <c r="E444" s="288">
        <v>0.4</v>
      </c>
      <c r="F444" s="288">
        <v>1.6000000000000001E-3</v>
      </c>
    </row>
    <row r="445" spans="1:6">
      <c r="A445" s="288" t="s">
        <v>635</v>
      </c>
      <c r="B445" s="288" t="s">
        <v>640</v>
      </c>
      <c r="C445" s="288">
        <v>60</v>
      </c>
      <c r="D445" s="288">
        <v>70</v>
      </c>
      <c r="E445" s="288">
        <v>0.6</v>
      </c>
      <c r="F445" s="288">
        <v>1.8E-3</v>
      </c>
    </row>
    <row r="446" spans="1:6">
      <c r="A446" s="288" t="s">
        <v>635</v>
      </c>
      <c r="B446" s="288" t="s">
        <v>640</v>
      </c>
      <c r="C446" s="288">
        <v>60</v>
      </c>
      <c r="D446" s="288">
        <v>80</v>
      </c>
      <c r="E446" s="288">
        <v>0.8</v>
      </c>
      <c r="F446" s="288">
        <v>2.0100000000000001E-3</v>
      </c>
    </row>
    <row r="447" spans="1:6">
      <c r="A447" s="288" t="s">
        <v>635</v>
      </c>
      <c r="B447" s="288" t="s">
        <v>640</v>
      </c>
      <c r="C447" s="288">
        <v>60</v>
      </c>
      <c r="D447" s="288">
        <v>90</v>
      </c>
      <c r="E447" s="288">
        <v>1.1000000000000001</v>
      </c>
      <c r="F447" s="288">
        <v>2.3999999999999998E-3</v>
      </c>
    </row>
    <row r="448" spans="1:6">
      <c r="A448" s="288" t="s">
        <v>635</v>
      </c>
      <c r="B448" s="288" t="s">
        <v>640</v>
      </c>
      <c r="C448" s="288">
        <v>60</v>
      </c>
      <c r="D448" s="288">
        <v>100</v>
      </c>
      <c r="E448" s="288">
        <v>1.4</v>
      </c>
      <c r="F448" s="288">
        <v>2.8E-3</v>
      </c>
    </row>
    <row r="449" spans="1:6">
      <c r="A449" s="288" t="s">
        <v>635</v>
      </c>
      <c r="B449" s="288" t="s">
        <v>640</v>
      </c>
      <c r="C449" s="288">
        <v>60</v>
      </c>
      <c r="D449" s="288">
        <v>200</v>
      </c>
      <c r="E449" s="288">
        <v>7</v>
      </c>
      <c r="F449" s="288">
        <v>4.8999999999999998E-3</v>
      </c>
    </row>
    <row r="450" spans="1:6">
      <c r="A450" s="288" t="s">
        <v>635</v>
      </c>
      <c r="B450" s="288" t="s">
        <v>640</v>
      </c>
      <c r="C450" s="288">
        <v>60</v>
      </c>
      <c r="D450" s="288">
        <v>300</v>
      </c>
      <c r="E450" s="288">
        <v>18.5</v>
      </c>
      <c r="F450" s="288">
        <v>6.8999999999999999E-3</v>
      </c>
    </row>
    <row r="451" spans="1:6">
      <c r="A451" s="288" t="s">
        <v>635</v>
      </c>
      <c r="B451" s="288" t="s">
        <v>640</v>
      </c>
      <c r="C451" s="288">
        <v>60</v>
      </c>
      <c r="D451" s="288">
        <v>400</v>
      </c>
      <c r="E451" s="288">
        <v>33</v>
      </c>
      <c r="F451" s="288">
        <v>8.5000000000000006E-3</v>
      </c>
    </row>
    <row r="452" spans="1:6">
      <c r="A452" s="288" t="s">
        <v>635</v>
      </c>
      <c r="B452" s="288" t="s">
        <v>640</v>
      </c>
      <c r="C452" s="288">
        <v>60</v>
      </c>
      <c r="D452" s="288">
        <v>500</v>
      </c>
      <c r="E452" s="288">
        <v>50</v>
      </c>
      <c r="F452" s="288">
        <v>0.01</v>
      </c>
    </row>
    <row r="453" spans="1:6">
      <c r="A453" s="288" t="s">
        <v>635</v>
      </c>
      <c r="B453" s="288" t="s">
        <v>640</v>
      </c>
      <c r="C453" s="288">
        <v>60</v>
      </c>
      <c r="D453" s="288">
        <v>600</v>
      </c>
      <c r="E453" s="288">
        <v>69</v>
      </c>
      <c r="F453" s="288">
        <v>1.2500000000000001E-2</v>
      </c>
    </row>
    <row r="454" spans="1:6">
      <c r="A454" s="288" t="s">
        <v>635</v>
      </c>
      <c r="B454" s="288" t="s">
        <v>640</v>
      </c>
      <c r="C454" s="288">
        <v>60</v>
      </c>
      <c r="D454" s="288">
        <v>700</v>
      </c>
      <c r="E454" s="288">
        <v>87</v>
      </c>
      <c r="F454" s="288">
        <v>1.4E-2</v>
      </c>
    </row>
    <row r="455" spans="1:6">
      <c r="A455" s="288" t="s">
        <v>635</v>
      </c>
      <c r="B455" s="288" t="s">
        <v>640</v>
      </c>
      <c r="C455" s="288">
        <v>60</v>
      </c>
      <c r="D455" s="288">
        <v>800</v>
      </c>
      <c r="E455" s="288">
        <v>125</v>
      </c>
      <c r="F455" s="288">
        <v>1.4999999999999999E-2</v>
      </c>
    </row>
    <row r="456" spans="1:6">
      <c r="A456" s="288" t="s">
        <v>635</v>
      </c>
      <c r="B456" s="288" t="s">
        <v>640</v>
      </c>
      <c r="C456" s="288">
        <v>60</v>
      </c>
      <c r="D456" s="288">
        <v>900</v>
      </c>
      <c r="E456" s="288">
        <v>150</v>
      </c>
      <c r="F456" s="288">
        <v>1.6500000000000001E-2</v>
      </c>
    </row>
    <row r="457" spans="1:6">
      <c r="A457" s="288" t="s">
        <v>635</v>
      </c>
      <c r="B457" s="288" t="s">
        <v>640</v>
      </c>
      <c r="C457" s="288">
        <v>60</v>
      </c>
      <c r="D457" s="288">
        <v>1000</v>
      </c>
      <c r="E457" s="288">
        <v>180</v>
      </c>
      <c r="F457" s="288">
        <v>1.7500000000000002E-2</v>
      </c>
    </row>
    <row r="458" spans="1:6">
      <c r="A458" s="288" t="s">
        <v>635</v>
      </c>
      <c r="B458" s="288" t="s">
        <v>640</v>
      </c>
      <c r="C458" s="288">
        <v>60</v>
      </c>
      <c r="D458" s="288">
        <v>1500</v>
      </c>
      <c r="E458" s="288">
        <v>350</v>
      </c>
      <c r="F458" s="288">
        <v>1.95E-2</v>
      </c>
    </row>
    <row r="459" spans="1:6">
      <c r="A459" s="288" t="s">
        <v>635</v>
      </c>
      <c r="B459" s="288" t="s">
        <v>640</v>
      </c>
      <c r="C459" s="288">
        <v>60</v>
      </c>
      <c r="D459" s="288">
        <v>2000</v>
      </c>
      <c r="E459" s="288">
        <v>600</v>
      </c>
      <c r="F459" s="288">
        <v>2.4500000000000001E-2</v>
      </c>
    </row>
    <row r="460" spans="1:6">
      <c r="A460" s="288" t="s">
        <v>635</v>
      </c>
      <c r="B460" s="288" t="s">
        <v>640</v>
      </c>
      <c r="C460" s="288">
        <v>60</v>
      </c>
      <c r="D460" s="288">
        <v>2500</v>
      </c>
      <c r="E460" s="288">
        <v>850</v>
      </c>
      <c r="F460" s="288">
        <v>2.5499999999999998E-2</v>
      </c>
    </row>
    <row r="461" spans="1:6">
      <c r="A461" s="288" t="s">
        <v>635</v>
      </c>
      <c r="B461" s="288" t="s">
        <v>640</v>
      </c>
      <c r="C461" s="288">
        <v>60</v>
      </c>
      <c r="D461" s="288">
        <v>3000</v>
      </c>
      <c r="E461" s="288">
        <v>1300</v>
      </c>
      <c r="F461" s="288">
        <v>2.8000000000000001E-2</v>
      </c>
    </row>
    <row r="462" spans="1:6">
      <c r="A462" s="288" t="s">
        <v>635</v>
      </c>
      <c r="B462" s="288" t="s">
        <v>640</v>
      </c>
      <c r="C462" s="288">
        <v>60</v>
      </c>
      <c r="D462" s="288">
        <v>3500</v>
      </c>
      <c r="E462" s="288">
        <v>1600</v>
      </c>
      <c r="F462" s="288">
        <v>2.8500000000000001E-2</v>
      </c>
    </row>
    <row r="463" spans="1:6">
      <c r="A463" s="288" t="s">
        <v>635</v>
      </c>
      <c r="B463" s="288" t="s">
        <v>640</v>
      </c>
      <c r="C463" s="288">
        <v>60</v>
      </c>
      <c r="D463" s="288">
        <v>4000</v>
      </c>
      <c r="E463" s="288">
        <v>2100</v>
      </c>
      <c r="F463" s="288">
        <v>0.03</v>
      </c>
    </row>
    <row r="464" spans="1:6">
      <c r="A464" s="288" t="s">
        <v>635</v>
      </c>
      <c r="B464" s="288" t="s">
        <v>640</v>
      </c>
      <c r="C464" s="288">
        <v>60</v>
      </c>
      <c r="D464" s="288">
        <v>4500</v>
      </c>
      <c r="E464" s="288">
        <v>2500</v>
      </c>
      <c r="F464" s="288">
        <v>3.3000000000000002E-2</v>
      </c>
    </row>
    <row r="465" spans="1:6">
      <c r="A465" s="288" t="s">
        <v>635</v>
      </c>
      <c r="B465" s="288" t="s">
        <v>640</v>
      </c>
      <c r="C465" s="288">
        <v>60</v>
      </c>
      <c r="D465" s="288">
        <v>5000</v>
      </c>
      <c r="E465" s="288">
        <v>3200</v>
      </c>
      <c r="F465" s="288">
        <v>3.7999999999999999E-2</v>
      </c>
    </row>
    <row r="466" spans="1:6">
      <c r="A466" s="288" t="s">
        <v>635</v>
      </c>
      <c r="B466" s="288" t="s">
        <v>640</v>
      </c>
      <c r="C466" s="288">
        <v>60</v>
      </c>
      <c r="D466" s="288">
        <v>5500</v>
      </c>
      <c r="E466" s="288">
        <v>3700</v>
      </c>
      <c r="F466" s="288">
        <v>0.06</v>
      </c>
    </row>
    <row r="467" spans="1:6">
      <c r="A467" s="288" t="s">
        <v>635</v>
      </c>
      <c r="B467" s="288" t="s">
        <v>640</v>
      </c>
      <c r="C467" s="288">
        <v>60</v>
      </c>
      <c r="D467" s="288">
        <v>6000</v>
      </c>
      <c r="E467" s="288">
        <v>4500</v>
      </c>
      <c r="F467" s="288">
        <v>0.14499999999999999</v>
      </c>
    </row>
    <row r="468" spans="1:6">
      <c r="A468" s="288" t="s">
        <v>635</v>
      </c>
      <c r="B468" s="288" t="s">
        <v>640</v>
      </c>
      <c r="C468" s="288">
        <v>60</v>
      </c>
      <c r="D468" s="288">
        <v>6500</v>
      </c>
      <c r="E468" s="288">
        <v>5000</v>
      </c>
      <c r="F468" s="288">
        <v>0.4</v>
      </c>
    </row>
    <row r="469" spans="1:6">
      <c r="A469" s="288" t="s">
        <v>635</v>
      </c>
      <c r="B469" s="288" t="s">
        <v>640</v>
      </c>
      <c r="C469" s="288">
        <v>60</v>
      </c>
      <c r="D469" s="288">
        <v>7000</v>
      </c>
      <c r="E469" s="288">
        <v>5900</v>
      </c>
      <c r="F469" s="288">
        <v>1.3</v>
      </c>
    </row>
    <row r="470" spans="1:6">
      <c r="A470" s="288" t="s">
        <v>635</v>
      </c>
      <c r="B470" s="288" t="s">
        <v>641</v>
      </c>
      <c r="C470" s="288">
        <v>50</v>
      </c>
      <c r="D470" s="288">
        <v>10</v>
      </c>
      <c r="E470" s="288">
        <v>0.125</v>
      </c>
      <c r="F470" s="288">
        <v>0.27</v>
      </c>
    </row>
    <row r="471" spans="1:6">
      <c r="A471" s="288" t="s">
        <v>635</v>
      </c>
      <c r="B471" s="288" t="s">
        <v>641</v>
      </c>
      <c r="C471" s="288">
        <v>50</v>
      </c>
      <c r="D471" s="288">
        <v>20</v>
      </c>
      <c r="E471" s="288">
        <v>0.56999999999999995</v>
      </c>
      <c r="F471" s="288">
        <v>0.5</v>
      </c>
    </row>
    <row r="472" spans="1:6">
      <c r="A472" s="288" t="s">
        <v>635</v>
      </c>
      <c r="B472" s="288" t="s">
        <v>641</v>
      </c>
      <c r="C472" s="288">
        <v>50</v>
      </c>
      <c r="D472" s="288">
        <v>30</v>
      </c>
      <c r="E472" s="288">
        <v>1.5</v>
      </c>
      <c r="F472" s="288">
        <v>0.7</v>
      </c>
    </row>
    <row r="473" spans="1:6">
      <c r="A473" s="288" t="s">
        <v>635</v>
      </c>
      <c r="B473" s="288" t="s">
        <v>641</v>
      </c>
      <c r="C473" s="288">
        <v>50</v>
      </c>
      <c r="D473" s="288">
        <v>40</v>
      </c>
      <c r="E473" s="288">
        <v>2.5</v>
      </c>
      <c r="F473" s="288">
        <v>0.89</v>
      </c>
    </row>
    <row r="474" spans="1:6">
      <c r="A474" s="288" t="s">
        <v>635</v>
      </c>
      <c r="B474" s="288" t="s">
        <v>641</v>
      </c>
      <c r="C474" s="288">
        <v>50</v>
      </c>
      <c r="D474" s="288">
        <v>50</v>
      </c>
      <c r="E474" s="288">
        <v>3.9</v>
      </c>
      <c r="F474" s="288">
        <v>1.1499999999999999</v>
      </c>
    </row>
    <row r="475" spans="1:6">
      <c r="A475" s="288" t="s">
        <v>635</v>
      </c>
      <c r="B475" s="288" t="s">
        <v>641</v>
      </c>
      <c r="C475" s="288">
        <v>50</v>
      </c>
      <c r="D475" s="288">
        <v>60</v>
      </c>
      <c r="E475" s="288">
        <v>5.4</v>
      </c>
      <c r="F475" s="288">
        <v>1.3</v>
      </c>
    </row>
    <row r="476" spans="1:6">
      <c r="A476" s="288" t="s">
        <v>635</v>
      </c>
      <c r="B476" s="288" t="s">
        <v>641</v>
      </c>
      <c r="C476" s="288">
        <v>50</v>
      </c>
      <c r="D476" s="288">
        <v>70</v>
      </c>
      <c r="E476" s="288">
        <v>6.6</v>
      </c>
      <c r="F476" s="288">
        <v>1.5</v>
      </c>
    </row>
    <row r="477" spans="1:6">
      <c r="A477" s="288" t="s">
        <v>635</v>
      </c>
      <c r="B477" s="288" t="s">
        <v>641</v>
      </c>
      <c r="C477" s="288">
        <v>50</v>
      </c>
      <c r="D477" s="288">
        <v>80</v>
      </c>
      <c r="E477" s="288">
        <v>8.1999999999999993</v>
      </c>
      <c r="F477" s="288">
        <v>1.7</v>
      </c>
    </row>
    <row r="478" spans="1:6">
      <c r="A478" s="288" t="s">
        <v>635</v>
      </c>
      <c r="B478" s="288" t="s">
        <v>641</v>
      </c>
      <c r="C478" s="288">
        <v>50</v>
      </c>
      <c r="D478" s="288">
        <v>90</v>
      </c>
      <c r="E478" s="288">
        <v>12</v>
      </c>
      <c r="F478" s="288">
        <v>1.8</v>
      </c>
    </row>
    <row r="479" spans="1:6">
      <c r="A479" s="288" t="s">
        <v>635</v>
      </c>
      <c r="B479" s="288" t="s">
        <v>641</v>
      </c>
      <c r="C479" s="288">
        <v>50</v>
      </c>
      <c r="D479" s="288">
        <v>100</v>
      </c>
      <c r="E479" s="288">
        <v>14</v>
      </c>
      <c r="F479" s="288">
        <v>1.95</v>
      </c>
    </row>
    <row r="480" spans="1:6">
      <c r="A480" s="288" t="s">
        <v>635</v>
      </c>
      <c r="B480" s="288" t="s">
        <v>641</v>
      </c>
      <c r="C480" s="288">
        <v>50</v>
      </c>
      <c r="D480" s="288">
        <v>200</v>
      </c>
      <c r="E480" s="288">
        <v>51</v>
      </c>
      <c r="F480" s="288">
        <v>3.3</v>
      </c>
    </row>
    <row r="481" spans="1:6">
      <c r="A481" s="288" t="s">
        <v>635</v>
      </c>
      <c r="B481" s="288" t="s">
        <v>641</v>
      </c>
      <c r="C481" s="288">
        <v>50</v>
      </c>
      <c r="D481" s="288">
        <v>300</v>
      </c>
      <c r="E481" s="288">
        <v>125</v>
      </c>
      <c r="F481" s="288">
        <v>4.5999999999999996</v>
      </c>
    </row>
    <row r="482" spans="1:6">
      <c r="A482" s="288" t="s">
        <v>635</v>
      </c>
      <c r="B482" s="288" t="s">
        <v>641</v>
      </c>
      <c r="C482" s="288">
        <v>50</v>
      </c>
      <c r="D482" s="288">
        <v>400</v>
      </c>
      <c r="E482" s="288">
        <v>219</v>
      </c>
      <c r="F482" s="288">
        <v>5.8</v>
      </c>
    </row>
    <row r="483" spans="1:6">
      <c r="A483" s="288" t="s">
        <v>635</v>
      </c>
      <c r="B483" s="288" t="s">
        <v>641</v>
      </c>
      <c r="C483" s="288">
        <v>50</v>
      </c>
      <c r="D483" s="288">
        <v>500</v>
      </c>
      <c r="E483" s="288">
        <v>350</v>
      </c>
      <c r="F483" s="288">
        <v>6.8</v>
      </c>
    </row>
    <row r="484" spans="1:6">
      <c r="A484" s="288" t="s">
        <v>635</v>
      </c>
      <c r="B484" s="288" t="s">
        <v>641</v>
      </c>
      <c r="C484" s="288">
        <v>50</v>
      </c>
      <c r="D484" s="288">
        <v>600</v>
      </c>
      <c r="E484" s="288">
        <v>500</v>
      </c>
      <c r="F484" s="288">
        <v>7.7</v>
      </c>
    </row>
    <row r="485" spans="1:6">
      <c r="A485" s="288" t="s">
        <v>635</v>
      </c>
      <c r="B485" s="288" t="s">
        <v>641</v>
      </c>
      <c r="C485" s="288">
        <v>50</v>
      </c>
      <c r="D485" s="288">
        <v>700</v>
      </c>
      <c r="E485" s="288">
        <v>662</v>
      </c>
      <c r="F485" s="288">
        <v>8.5</v>
      </c>
    </row>
    <row r="486" spans="1:6">
      <c r="A486" s="288" t="s">
        <v>635</v>
      </c>
      <c r="B486" s="288" t="s">
        <v>641</v>
      </c>
      <c r="C486" s="288">
        <v>50</v>
      </c>
      <c r="D486" s="288">
        <v>800</v>
      </c>
      <c r="E486" s="288">
        <v>880</v>
      </c>
      <c r="F486" s="288">
        <v>9.1999999999999993</v>
      </c>
    </row>
    <row r="487" spans="1:6">
      <c r="A487" s="288" t="s">
        <v>635</v>
      </c>
      <c r="B487" s="288" t="s">
        <v>641</v>
      </c>
      <c r="C487" s="288">
        <v>50</v>
      </c>
      <c r="D487" s="288">
        <v>900</v>
      </c>
      <c r="E487" s="288">
        <v>1150</v>
      </c>
      <c r="F487" s="288">
        <v>10</v>
      </c>
    </row>
    <row r="488" spans="1:6">
      <c r="A488" s="288" t="s">
        <v>635</v>
      </c>
      <c r="B488" s="288" t="s">
        <v>641</v>
      </c>
      <c r="C488" s="288">
        <v>50</v>
      </c>
      <c r="D488" s="288">
        <v>1000</v>
      </c>
      <c r="E488" s="288">
        <v>1304</v>
      </c>
      <c r="F488" s="288">
        <v>10.6</v>
      </c>
    </row>
    <row r="489" spans="1:6">
      <c r="A489" s="288" t="s">
        <v>635</v>
      </c>
      <c r="B489" s="288" t="s">
        <v>641</v>
      </c>
      <c r="C489" s="288">
        <v>50</v>
      </c>
      <c r="D489" s="288">
        <v>1500</v>
      </c>
      <c r="E489" s="288">
        <v>2737</v>
      </c>
      <c r="F489" s="288">
        <v>13.4</v>
      </c>
    </row>
    <row r="490" spans="1:6">
      <c r="A490" s="288" t="s">
        <v>635</v>
      </c>
      <c r="B490" s="288" t="s">
        <v>641</v>
      </c>
      <c r="C490" s="288">
        <v>50</v>
      </c>
      <c r="D490" s="288">
        <v>2000</v>
      </c>
      <c r="E490" s="288">
        <v>4552</v>
      </c>
      <c r="F490" s="288">
        <v>15.5</v>
      </c>
    </row>
    <row r="491" spans="1:6">
      <c r="A491" s="288" t="s">
        <v>635</v>
      </c>
      <c r="B491" s="288" t="s">
        <v>641</v>
      </c>
      <c r="C491" s="288">
        <v>50</v>
      </c>
      <c r="D491" s="288">
        <v>2500</v>
      </c>
      <c r="E491" s="288">
        <v>5500</v>
      </c>
      <c r="F491" s="288">
        <v>17</v>
      </c>
    </row>
    <row r="492" spans="1:6">
      <c r="A492" s="288" t="s">
        <v>635</v>
      </c>
      <c r="B492" s="288" t="s">
        <v>641</v>
      </c>
      <c r="C492" s="288">
        <v>50</v>
      </c>
      <c r="D492" s="288">
        <v>3000</v>
      </c>
      <c r="E492" s="288">
        <v>9023</v>
      </c>
      <c r="F492" s="288">
        <v>17.8</v>
      </c>
    </row>
    <row r="493" spans="1:6">
      <c r="A493" s="288" t="s">
        <v>635</v>
      </c>
      <c r="B493" s="288" t="s">
        <v>641</v>
      </c>
      <c r="C493" s="288">
        <v>50</v>
      </c>
      <c r="D493" s="288">
        <v>3500</v>
      </c>
      <c r="E493" s="288">
        <v>13000</v>
      </c>
      <c r="F493" s="288">
        <v>19</v>
      </c>
    </row>
    <row r="494" spans="1:6">
      <c r="A494" s="288" t="s">
        <v>635</v>
      </c>
      <c r="B494" s="288" t="s">
        <v>641</v>
      </c>
      <c r="C494" s="288">
        <v>50</v>
      </c>
      <c r="D494" s="288">
        <v>4000</v>
      </c>
      <c r="E494" s="288">
        <v>15192</v>
      </c>
      <c r="F494" s="288">
        <v>21.1</v>
      </c>
    </row>
    <row r="495" spans="1:6">
      <c r="A495" s="288" t="s">
        <v>635</v>
      </c>
      <c r="B495" s="288" t="s">
        <v>641</v>
      </c>
      <c r="C495" s="288">
        <v>50</v>
      </c>
      <c r="D495" s="288">
        <v>4500</v>
      </c>
      <c r="E495" s="288">
        <v>18000</v>
      </c>
      <c r="F495" s="288">
        <v>23</v>
      </c>
    </row>
    <row r="496" spans="1:6">
      <c r="A496" s="288" t="s">
        <v>635</v>
      </c>
      <c r="B496" s="288" t="s">
        <v>641</v>
      </c>
      <c r="C496" s="288">
        <v>50</v>
      </c>
      <c r="D496" s="288">
        <v>5000</v>
      </c>
      <c r="E496" s="288">
        <v>23093</v>
      </c>
      <c r="F496" s="288">
        <v>25.2</v>
      </c>
    </row>
    <row r="497" spans="1:6">
      <c r="A497" s="288" t="s">
        <v>635</v>
      </c>
      <c r="B497" s="288" t="s">
        <v>641</v>
      </c>
      <c r="C497" s="288">
        <v>50</v>
      </c>
      <c r="D497" s="288">
        <v>5500</v>
      </c>
      <c r="E497" s="288">
        <v>29000</v>
      </c>
      <c r="F497" s="288">
        <v>35</v>
      </c>
    </row>
    <row r="498" spans="1:6">
      <c r="A498" s="288" t="s">
        <v>635</v>
      </c>
      <c r="B498" s="288" t="s">
        <v>641</v>
      </c>
      <c r="C498" s="288">
        <v>50</v>
      </c>
      <c r="D498" s="288">
        <v>6000</v>
      </c>
      <c r="E498" s="288">
        <v>33325</v>
      </c>
      <c r="F498" s="288">
        <v>76.099999999999994</v>
      </c>
    </row>
    <row r="499" spans="1:6">
      <c r="A499" s="288" t="s">
        <v>635</v>
      </c>
      <c r="B499" s="288" t="s">
        <v>641</v>
      </c>
      <c r="C499" s="288">
        <v>50</v>
      </c>
      <c r="D499" s="288">
        <v>6500</v>
      </c>
      <c r="E499" s="288">
        <v>38000</v>
      </c>
      <c r="F499" s="288">
        <v>200</v>
      </c>
    </row>
    <row r="500" spans="1:6">
      <c r="A500" s="288" t="s">
        <v>635</v>
      </c>
      <c r="B500" s="288" t="s">
        <v>641</v>
      </c>
      <c r="C500" s="288">
        <v>50</v>
      </c>
      <c r="D500" s="288">
        <v>7000</v>
      </c>
      <c r="E500" s="288">
        <v>43653</v>
      </c>
      <c r="F500" s="288">
        <v>524.79999999999995</v>
      </c>
    </row>
    <row r="501" spans="1:6">
      <c r="A501" s="288" t="s">
        <v>635</v>
      </c>
      <c r="B501" s="288" t="s">
        <v>641</v>
      </c>
      <c r="C501" s="288">
        <v>60</v>
      </c>
      <c r="D501" s="288">
        <v>10</v>
      </c>
      <c r="E501" s="288">
        <v>8.1000000000000003E-2</v>
      </c>
      <c r="F501" s="288">
        <v>0.23</v>
      </c>
    </row>
    <row r="502" spans="1:6">
      <c r="A502" s="288" t="s">
        <v>635</v>
      </c>
      <c r="B502" s="288" t="s">
        <v>641</v>
      </c>
      <c r="C502" s="288">
        <v>60</v>
      </c>
      <c r="D502" s="288">
        <v>20</v>
      </c>
      <c r="E502" s="288">
        <v>0.36</v>
      </c>
      <c r="F502" s="288">
        <v>0.49</v>
      </c>
    </row>
    <row r="503" spans="1:6">
      <c r="A503" s="288" t="s">
        <v>635</v>
      </c>
      <c r="B503" s="288" t="s">
        <v>641</v>
      </c>
      <c r="C503" s="288">
        <v>60</v>
      </c>
      <c r="D503" s="288">
        <v>30</v>
      </c>
      <c r="E503" s="288">
        <v>0.85</v>
      </c>
      <c r="F503" s="288">
        <v>0.75</v>
      </c>
    </row>
    <row r="504" spans="1:6">
      <c r="A504" s="288" t="s">
        <v>635</v>
      </c>
      <c r="B504" s="288" t="s">
        <v>641</v>
      </c>
      <c r="C504" s="288">
        <v>60</v>
      </c>
      <c r="D504" s="288">
        <v>40</v>
      </c>
      <c r="E504" s="288">
        <v>1.6</v>
      </c>
      <c r="F504" s="288">
        <v>1.1000000000000001</v>
      </c>
    </row>
    <row r="505" spans="1:6">
      <c r="A505" s="288" t="s">
        <v>635</v>
      </c>
      <c r="B505" s="288" t="s">
        <v>641</v>
      </c>
      <c r="C505" s="288">
        <v>60</v>
      </c>
      <c r="D505" s="288">
        <v>50</v>
      </c>
      <c r="E505" s="288">
        <v>2.7</v>
      </c>
      <c r="F505" s="288">
        <v>1.4</v>
      </c>
    </row>
    <row r="506" spans="1:6">
      <c r="A506" s="288" t="s">
        <v>635</v>
      </c>
      <c r="B506" s="288" t="s">
        <v>641</v>
      </c>
      <c r="C506" s="288">
        <v>60</v>
      </c>
      <c r="D506" s="288">
        <v>60</v>
      </c>
      <c r="E506" s="288">
        <v>4</v>
      </c>
      <c r="F506" s="288">
        <v>1.6</v>
      </c>
    </row>
    <row r="507" spans="1:6">
      <c r="A507" s="288" t="s">
        <v>635</v>
      </c>
      <c r="B507" s="288" t="s">
        <v>641</v>
      </c>
      <c r="C507" s="288">
        <v>60</v>
      </c>
      <c r="D507" s="288">
        <v>70</v>
      </c>
      <c r="E507" s="288">
        <v>6</v>
      </c>
      <c r="F507" s="288">
        <v>1.8</v>
      </c>
    </row>
    <row r="508" spans="1:6">
      <c r="A508" s="288" t="s">
        <v>635</v>
      </c>
      <c r="B508" s="288" t="s">
        <v>641</v>
      </c>
      <c r="C508" s="288">
        <v>60</v>
      </c>
      <c r="D508" s="288">
        <v>80</v>
      </c>
      <c r="E508" s="288">
        <v>8</v>
      </c>
      <c r="F508" s="288">
        <v>2.0099999999999998</v>
      </c>
    </row>
    <row r="509" spans="1:6">
      <c r="A509" s="288" t="s">
        <v>635</v>
      </c>
      <c r="B509" s="288" t="s">
        <v>641</v>
      </c>
      <c r="C509" s="288">
        <v>60</v>
      </c>
      <c r="D509" s="288">
        <v>90</v>
      </c>
      <c r="E509" s="288">
        <v>11</v>
      </c>
      <c r="F509" s="288">
        <v>2.4</v>
      </c>
    </row>
    <row r="510" spans="1:6">
      <c r="A510" s="288" t="s">
        <v>635</v>
      </c>
      <c r="B510" s="288" t="s">
        <v>641</v>
      </c>
      <c r="C510" s="288">
        <v>60</v>
      </c>
      <c r="D510" s="288">
        <v>100</v>
      </c>
      <c r="E510" s="288">
        <v>14</v>
      </c>
      <c r="F510" s="288">
        <v>2.8</v>
      </c>
    </row>
    <row r="511" spans="1:6">
      <c r="A511" s="288" t="s">
        <v>635</v>
      </c>
      <c r="B511" s="288" t="s">
        <v>641</v>
      </c>
      <c r="C511" s="288">
        <v>60</v>
      </c>
      <c r="D511" s="288">
        <v>200</v>
      </c>
      <c r="E511" s="288">
        <v>70</v>
      </c>
      <c r="F511" s="288">
        <v>4.9000000000000004</v>
      </c>
    </row>
    <row r="512" spans="1:6">
      <c r="A512" s="288" t="s">
        <v>635</v>
      </c>
      <c r="B512" s="288" t="s">
        <v>641</v>
      </c>
      <c r="C512" s="288">
        <v>60</v>
      </c>
      <c r="D512" s="288">
        <v>300</v>
      </c>
      <c r="E512" s="288">
        <v>185</v>
      </c>
      <c r="F512" s="288">
        <v>6.9</v>
      </c>
    </row>
    <row r="513" spans="1:6">
      <c r="A513" s="288" t="s">
        <v>635</v>
      </c>
      <c r="B513" s="288" t="s">
        <v>641</v>
      </c>
      <c r="C513" s="288">
        <v>60</v>
      </c>
      <c r="D513" s="288">
        <v>400</v>
      </c>
      <c r="E513" s="288">
        <v>330</v>
      </c>
      <c r="F513" s="288">
        <v>8.5</v>
      </c>
    </row>
    <row r="514" spans="1:6">
      <c r="A514" s="288" t="s">
        <v>635</v>
      </c>
      <c r="B514" s="288" t="s">
        <v>641</v>
      </c>
      <c r="C514" s="288">
        <v>60</v>
      </c>
      <c r="D514" s="288">
        <v>500</v>
      </c>
      <c r="E514" s="288">
        <v>500</v>
      </c>
      <c r="F514" s="288">
        <v>10</v>
      </c>
    </row>
    <row r="515" spans="1:6">
      <c r="A515" s="288" t="s">
        <v>635</v>
      </c>
      <c r="B515" s="288" t="s">
        <v>641</v>
      </c>
      <c r="C515" s="288">
        <v>60</v>
      </c>
      <c r="D515" s="288">
        <v>600</v>
      </c>
      <c r="E515" s="288">
        <v>690</v>
      </c>
      <c r="F515" s="288">
        <v>12.5</v>
      </c>
    </row>
    <row r="516" spans="1:6">
      <c r="A516" s="288" t="s">
        <v>635</v>
      </c>
      <c r="B516" s="288" t="s">
        <v>641</v>
      </c>
      <c r="C516" s="288">
        <v>60</v>
      </c>
      <c r="D516" s="288">
        <v>700</v>
      </c>
      <c r="E516" s="288">
        <v>870</v>
      </c>
      <c r="F516" s="288">
        <v>14</v>
      </c>
    </row>
    <row r="517" spans="1:6">
      <c r="A517" s="288" t="s">
        <v>635</v>
      </c>
      <c r="B517" s="288" t="s">
        <v>641</v>
      </c>
      <c r="C517" s="288">
        <v>60</v>
      </c>
      <c r="D517" s="288">
        <v>800</v>
      </c>
      <c r="E517" s="288">
        <v>1250</v>
      </c>
      <c r="F517" s="288">
        <v>15</v>
      </c>
    </row>
    <row r="518" spans="1:6">
      <c r="A518" s="288" t="s">
        <v>635</v>
      </c>
      <c r="B518" s="288" t="s">
        <v>641</v>
      </c>
      <c r="C518" s="288">
        <v>60</v>
      </c>
      <c r="D518" s="288">
        <v>900</v>
      </c>
      <c r="E518" s="288">
        <v>1500</v>
      </c>
      <c r="F518" s="288">
        <v>16.5</v>
      </c>
    </row>
    <row r="519" spans="1:6">
      <c r="A519" s="288" t="s">
        <v>635</v>
      </c>
      <c r="B519" s="288" t="s">
        <v>641</v>
      </c>
      <c r="C519" s="288">
        <v>60</v>
      </c>
      <c r="D519" s="288">
        <v>1000</v>
      </c>
      <c r="E519" s="288">
        <v>1800</v>
      </c>
      <c r="F519" s="288">
        <v>17.5</v>
      </c>
    </row>
    <row r="520" spans="1:6">
      <c r="A520" s="288" t="s">
        <v>635</v>
      </c>
      <c r="B520" s="288" t="s">
        <v>641</v>
      </c>
      <c r="C520" s="288">
        <v>60</v>
      </c>
      <c r="D520" s="288">
        <v>1500</v>
      </c>
      <c r="E520" s="288">
        <v>3500</v>
      </c>
      <c r="F520" s="288">
        <v>19.5</v>
      </c>
    </row>
    <row r="521" spans="1:6">
      <c r="A521" s="288" t="s">
        <v>635</v>
      </c>
      <c r="B521" s="288" t="s">
        <v>641</v>
      </c>
      <c r="C521" s="288">
        <v>60</v>
      </c>
      <c r="D521" s="288">
        <v>2000</v>
      </c>
      <c r="E521" s="288">
        <v>6000</v>
      </c>
      <c r="F521" s="288">
        <v>24.5</v>
      </c>
    </row>
    <row r="522" spans="1:6">
      <c r="A522" s="288" t="s">
        <v>635</v>
      </c>
      <c r="B522" s="288" t="s">
        <v>641</v>
      </c>
      <c r="C522" s="288">
        <v>60</v>
      </c>
      <c r="D522" s="288">
        <v>2500</v>
      </c>
      <c r="E522" s="288">
        <v>8500</v>
      </c>
      <c r="F522" s="288">
        <v>25.5</v>
      </c>
    </row>
    <row r="523" spans="1:6">
      <c r="A523" s="288" t="s">
        <v>635</v>
      </c>
      <c r="B523" s="288" t="s">
        <v>641</v>
      </c>
      <c r="C523" s="288">
        <v>60</v>
      </c>
      <c r="D523" s="288">
        <v>3000</v>
      </c>
      <c r="E523" s="288">
        <v>13000</v>
      </c>
      <c r="F523" s="288">
        <v>28</v>
      </c>
    </row>
    <row r="524" spans="1:6">
      <c r="A524" s="288" t="s">
        <v>635</v>
      </c>
      <c r="B524" s="288" t="s">
        <v>641</v>
      </c>
      <c r="C524" s="288">
        <v>60</v>
      </c>
      <c r="D524" s="288">
        <v>3500</v>
      </c>
      <c r="E524" s="288">
        <v>16000</v>
      </c>
      <c r="F524" s="288">
        <v>28.5</v>
      </c>
    </row>
    <row r="525" spans="1:6">
      <c r="A525" s="288" t="s">
        <v>635</v>
      </c>
      <c r="B525" s="288" t="s">
        <v>641</v>
      </c>
      <c r="C525" s="288">
        <v>60</v>
      </c>
      <c r="D525" s="288">
        <v>4000</v>
      </c>
      <c r="E525" s="288">
        <v>21000</v>
      </c>
      <c r="F525" s="288">
        <v>30</v>
      </c>
    </row>
    <row r="526" spans="1:6">
      <c r="A526" s="288" t="s">
        <v>635</v>
      </c>
      <c r="B526" s="288" t="s">
        <v>641</v>
      </c>
      <c r="C526" s="288">
        <v>60</v>
      </c>
      <c r="D526" s="288">
        <v>4500</v>
      </c>
      <c r="E526" s="288">
        <v>25000</v>
      </c>
      <c r="F526" s="288">
        <v>33</v>
      </c>
    </row>
    <row r="527" spans="1:6">
      <c r="A527" s="288" t="s">
        <v>635</v>
      </c>
      <c r="B527" s="288" t="s">
        <v>641</v>
      </c>
      <c r="C527" s="288">
        <v>60</v>
      </c>
      <c r="D527" s="288">
        <v>5000</v>
      </c>
      <c r="E527" s="288">
        <v>32000</v>
      </c>
      <c r="F527" s="288">
        <v>38</v>
      </c>
    </row>
    <row r="528" spans="1:6">
      <c r="A528" s="288" t="s">
        <v>635</v>
      </c>
      <c r="B528" s="288" t="s">
        <v>641</v>
      </c>
      <c r="C528" s="288">
        <v>60</v>
      </c>
      <c r="D528" s="288">
        <v>5500</v>
      </c>
      <c r="E528" s="288">
        <v>37000</v>
      </c>
      <c r="F528" s="288">
        <v>60</v>
      </c>
    </row>
    <row r="529" spans="1:6">
      <c r="A529" s="288" t="s">
        <v>635</v>
      </c>
      <c r="B529" s="288" t="s">
        <v>641</v>
      </c>
      <c r="C529" s="288">
        <v>60</v>
      </c>
      <c r="D529" s="288">
        <v>6000</v>
      </c>
      <c r="E529" s="288">
        <v>45000</v>
      </c>
      <c r="F529" s="288">
        <v>145</v>
      </c>
    </row>
    <row r="530" spans="1:6">
      <c r="A530" s="288" t="s">
        <v>635</v>
      </c>
      <c r="B530" s="288" t="s">
        <v>641</v>
      </c>
      <c r="C530" s="288">
        <v>60</v>
      </c>
      <c r="D530" s="288">
        <v>6500</v>
      </c>
      <c r="E530" s="288">
        <v>50000</v>
      </c>
      <c r="F530" s="288">
        <v>400</v>
      </c>
    </row>
    <row r="531" spans="1:6">
      <c r="A531" s="288" t="s">
        <v>635</v>
      </c>
      <c r="B531" s="288" t="s">
        <v>641</v>
      </c>
      <c r="C531" s="288">
        <v>60</v>
      </c>
      <c r="D531" s="288">
        <v>7000</v>
      </c>
      <c r="E531" s="288">
        <v>59000</v>
      </c>
      <c r="F531" s="288">
        <v>1300</v>
      </c>
    </row>
    <row r="532" spans="1:6">
      <c r="A532" s="288" t="s">
        <v>637</v>
      </c>
      <c r="B532" s="288" t="s">
        <v>638</v>
      </c>
      <c r="C532" s="288">
        <v>50</v>
      </c>
      <c r="D532" s="288">
        <v>50</v>
      </c>
      <c r="E532" s="288">
        <v>73</v>
      </c>
      <c r="F532" s="288">
        <v>6.8000000000000005E-4</v>
      </c>
    </row>
    <row r="533" spans="1:6">
      <c r="A533" s="288" t="s">
        <v>637</v>
      </c>
      <c r="B533" s="288" t="s">
        <v>638</v>
      </c>
      <c r="C533" s="288">
        <v>50</v>
      </c>
      <c r="D533" s="288">
        <v>60</v>
      </c>
      <c r="E533" s="288">
        <v>72</v>
      </c>
      <c r="F533" s="288">
        <v>8.9999999999999998E-4</v>
      </c>
    </row>
    <row r="534" spans="1:6">
      <c r="A534" s="288" t="s">
        <v>637</v>
      </c>
      <c r="B534" s="288" t="s">
        <v>638</v>
      </c>
      <c r="C534" s="288">
        <v>50</v>
      </c>
      <c r="D534" s="288">
        <v>70</v>
      </c>
      <c r="E534" s="288">
        <v>71</v>
      </c>
      <c r="F534" s="288">
        <v>1E-3</v>
      </c>
    </row>
    <row r="535" spans="1:6">
      <c r="A535" s="288" t="s">
        <v>637</v>
      </c>
      <c r="B535" s="288" t="s">
        <v>638</v>
      </c>
      <c r="C535" s="288">
        <v>50</v>
      </c>
      <c r="D535" s="288">
        <v>80</v>
      </c>
      <c r="E535" s="288">
        <v>70</v>
      </c>
      <c r="F535" s="288">
        <v>1.1999999999999999E-3</v>
      </c>
    </row>
    <row r="536" spans="1:6">
      <c r="A536" s="288" t="s">
        <v>637</v>
      </c>
      <c r="B536" s="288" t="s">
        <v>638</v>
      </c>
      <c r="C536" s="288">
        <v>50</v>
      </c>
      <c r="D536" s="288">
        <v>90</v>
      </c>
      <c r="E536" s="288">
        <v>69</v>
      </c>
      <c r="F536" s="288">
        <v>1.4E-3</v>
      </c>
    </row>
    <row r="537" spans="1:6">
      <c r="A537" s="288" t="s">
        <v>637</v>
      </c>
      <c r="B537" s="288" t="s">
        <v>638</v>
      </c>
      <c r="C537" s="288">
        <v>50</v>
      </c>
      <c r="D537" s="288">
        <v>100</v>
      </c>
      <c r="E537" s="288">
        <v>68</v>
      </c>
      <c r="F537" s="288">
        <v>1.5E-3</v>
      </c>
    </row>
    <row r="538" spans="1:6">
      <c r="A538" s="288" t="s">
        <v>637</v>
      </c>
      <c r="B538" s="288" t="s">
        <v>638</v>
      </c>
      <c r="C538" s="288">
        <v>50</v>
      </c>
      <c r="D538" s="288">
        <v>200</v>
      </c>
      <c r="E538" s="288">
        <v>63</v>
      </c>
      <c r="F538" s="288">
        <v>2.3E-3</v>
      </c>
    </row>
    <row r="539" spans="1:6">
      <c r="A539" s="288" t="s">
        <v>637</v>
      </c>
      <c r="B539" s="288" t="s">
        <v>638</v>
      </c>
      <c r="C539" s="288">
        <v>50</v>
      </c>
      <c r="D539" s="288">
        <v>300</v>
      </c>
      <c r="E539" s="288">
        <v>61</v>
      </c>
      <c r="F539" s="288">
        <v>3.2000000000000002E-3</v>
      </c>
    </row>
    <row r="540" spans="1:6">
      <c r="A540" s="288" t="s">
        <v>637</v>
      </c>
      <c r="B540" s="288" t="s">
        <v>638</v>
      </c>
      <c r="C540" s="288">
        <v>50</v>
      </c>
      <c r="D540" s="288">
        <v>400</v>
      </c>
      <c r="E540" s="288">
        <v>59</v>
      </c>
      <c r="F540" s="288">
        <v>4.0000000000000001E-3</v>
      </c>
    </row>
    <row r="541" spans="1:6">
      <c r="A541" s="288" t="s">
        <v>637</v>
      </c>
      <c r="B541" s="288" t="s">
        <v>638</v>
      </c>
      <c r="C541" s="288">
        <v>50</v>
      </c>
      <c r="D541" s="288">
        <v>500</v>
      </c>
      <c r="E541" s="288">
        <v>58</v>
      </c>
      <c r="F541" s="288">
        <v>4.7999999999999996E-3</v>
      </c>
    </row>
    <row r="542" spans="1:6">
      <c r="A542" s="288" t="s">
        <v>637</v>
      </c>
      <c r="B542" s="288" t="s">
        <v>638</v>
      </c>
      <c r="C542" s="288">
        <v>50</v>
      </c>
      <c r="D542" s="288">
        <v>600</v>
      </c>
      <c r="E542" s="288">
        <v>56</v>
      </c>
      <c r="F542" s="288">
        <v>5.5999999999999999E-3</v>
      </c>
    </row>
    <row r="543" spans="1:6">
      <c r="A543" s="288" t="s">
        <v>637</v>
      </c>
      <c r="B543" s="288" t="s">
        <v>638</v>
      </c>
      <c r="C543" s="288">
        <v>50</v>
      </c>
      <c r="D543" s="288">
        <v>700</v>
      </c>
      <c r="E543" s="288">
        <v>54</v>
      </c>
      <c r="F543" s="288">
        <v>6.1000000000000004E-3</v>
      </c>
    </row>
    <row r="544" spans="1:6">
      <c r="A544" s="288" t="s">
        <v>637</v>
      </c>
      <c r="B544" s="288" t="s">
        <v>638</v>
      </c>
      <c r="C544" s="288">
        <v>50</v>
      </c>
      <c r="D544" s="288">
        <v>800</v>
      </c>
      <c r="E544" s="288">
        <v>53</v>
      </c>
      <c r="F544" s="288">
        <v>6.7999999999999996E-3</v>
      </c>
    </row>
    <row r="545" spans="1:6">
      <c r="A545" s="288" t="s">
        <v>637</v>
      </c>
      <c r="B545" s="288" t="s">
        <v>638</v>
      </c>
      <c r="C545" s="288">
        <v>50</v>
      </c>
      <c r="D545" s="288">
        <v>900</v>
      </c>
      <c r="E545" s="288">
        <v>52</v>
      </c>
      <c r="F545" s="288">
        <v>7.1999999999999998E-3</v>
      </c>
    </row>
    <row r="546" spans="1:6">
      <c r="A546" s="288" t="s">
        <v>637</v>
      </c>
      <c r="B546" s="288" t="s">
        <v>638</v>
      </c>
      <c r="C546" s="288">
        <v>50</v>
      </c>
      <c r="D546" s="288">
        <v>1000</v>
      </c>
      <c r="E546" s="288">
        <v>50</v>
      </c>
      <c r="F546" s="288">
        <v>8.0000000000000002E-3</v>
      </c>
    </row>
    <row r="547" spans="1:6">
      <c r="A547" s="288" t="s">
        <v>637</v>
      </c>
      <c r="B547" s="288" t="s">
        <v>638</v>
      </c>
      <c r="C547" s="288">
        <v>50</v>
      </c>
      <c r="D547" s="288">
        <v>2000</v>
      </c>
      <c r="E547" s="288">
        <v>42</v>
      </c>
      <c r="F547" s="288">
        <v>1.4999999999999999E-2</v>
      </c>
    </row>
    <row r="548" spans="1:6">
      <c r="A548" s="288" t="s">
        <v>637</v>
      </c>
      <c r="B548" s="288" t="s">
        <v>638</v>
      </c>
      <c r="C548" s="288">
        <v>50</v>
      </c>
      <c r="D548" s="288">
        <v>3000</v>
      </c>
      <c r="E548" s="288">
        <v>42</v>
      </c>
      <c r="F548" s="288">
        <v>2.1999999999999999E-2</v>
      </c>
    </row>
    <row r="549" spans="1:6">
      <c r="A549" s="288" t="s">
        <v>637</v>
      </c>
      <c r="B549" s="288" t="s">
        <v>638</v>
      </c>
      <c r="C549" s="288">
        <v>50</v>
      </c>
      <c r="D549" s="288">
        <v>4000</v>
      </c>
      <c r="E549" s="288">
        <v>47</v>
      </c>
      <c r="F549" s="288">
        <v>3.2000000000000001E-2</v>
      </c>
    </row>
    <row r="550" spans="1:6">
      <c r="A550" s="288" t="s">
        <v>637</v>
      </c>
      <c r="B550" s="288" t="s">
        <v>638</v>
      </c>
      <c r="C550" s="288">
        <v>50</v>
      </c>
      <c r="D550" s="288">
        <v>5000</v>
      </c>
      <c r="E550" s="288">
        <v>55</v>
      </c>
      <c r="F550" s="288">
        <v>5.2999999999999999E-2</v>
      </c>
    </row>
    <row r="551" spans="1:6">
      <c r="A551" s="288" t="s">
        <v>637</v>
      </c>
      <c r="B551" s="288" t="s">
        <v>638</v>
      </c>
      <c r="C551" s="288">
        <v>50</v>
      </c>
      <c r="D551" s="288">
        <v>6000</v>
      </c>
      <c r="E551" s="288">
        <v>65</v>
      </c>
      <c r="F551" s="288">
        <v>9.2999999999999999E-2</v>
      </c>
    </row>
    <row r="552" spans="1:6">
      <c r="A552" s="288" t="s">
        <v>637</v>
      </c>
      <c r="B552" s="288" t="s">
        <v>638</v>
      </c>
      <c r="C552" s="288">
        <v>50</v>
      </c>
      <c r="D552" s="288">
        <v>7000</v>
      </c>
      <c r="E552" s="288">
        <v>63</v>
      </c>
      <c r="F552" s="288">
        <v>0.18</v>
      </c>
    </row>
    <row r="553" spans="1:6">
      <c r="A553" s="288" t="s">
        <v>637</v>
      </c>
      <c r="B553" s="288" t="s">
        <v>638</v>
      </c>
      <c r="C553" s="288">
        <v>50</v>
      </c>
      <c r="D553" s="288">
        <v>7200</v>
      </c>
      <c r="E553" s="288">
        <v>42</v>
      </c>
      <c r="F553" s="288">
        <v>0.23</v>
      </c>
    </row>
    <row r="554" spans="1:6">
      <c r="A554" s="288" t="s">
        <v>637</v>
      </c>
      <c r="B554" s="288" t="s">
        <v>638</v>
      </c>
      <c r="C554" s="288">
        <v>60</v>
      </c>
      <c r="D554" s="288">
        <v>50</v>
      </c>
      <c r="E554" s="288">
        <v>76</v>
      </c>
      <c r="F554" s="288">
        <v>6.3000000000000003E-4</v>
      </c>
    </row>
    <row r="555" spans="1:6">
      <c r="A555" s="288" t="s">
        <v>637</v>
      </c>
      <c r="B555" s="288" t="s">
        <v>638</v>
      </c>
      <c r="C555" s="288">
        <v>60</v>
      </c>
      <c r="D555" s="288">
        <v>60</v>
      </c>
      <c r="E555" s="288">
        <v>72</v>
      </c>
      <c r="F555" s="288">
        <v>7.5000000000000002E-4</v>
      </c>
    </row>
    <row r="556" spans="1:6">
      <c r="A556" s="288" t="s">
        <v>637</v>
      </c>
      <c r="B556" s="288" t="s">
        <v>638</v>
      </c>
      <c r="C556" s="288">
        <v>60</v>
      </c>
      <c r="D556" s="288">
        <v>70</v>
      </c>
      <c r="E556" s="288">
        <v>70</v>
      </c>
      <c r="F556" s="288">
        <v>8.4999999999999995E-4</v>
      </c>
    </row>
    <row r="557" spans="1:6">
      <c r="A557" s="288" t="s">
        <v>637</v>
      </c>
      <c r="B557" s="288" t="s">
        <v>638</v>
      </c>
      <c r="C557" s="288">
        <v>60</v>
      </c>
      <c r="D557" s="288">
        <v>80</v>
      </c>
      <c r="E557" s="288">
        <v>68</v>
      </c>
      <c r="F557" s="288">
        <v>9.7000000000000005E-4</v>
      </c>
    </row>
    <row r="558" spans="1:6">
      <c r="A558" s="288" t="s">
        <v>637</v>
      </c>
      <c r="B558" s="288" t="s">
        <v>638</v>
      </c>
      <c r="C558" s="288">
        <v>60</v>
      </c>
      <c r="D558" s="288">
        <v>90</v>
      </c>
      <c r="E558" s="288">
        <v>66</v>
      </c>
      <c r="F558" s="288">
        <v>1.1000000000000001E-3</v>
      </c>
    </row>
    <row r="559" spans="1:6">
      <c r="A559" s="288" t="s">
        <v>637</v>
      </c>
      <c r="B559" s="288" t="s">
        <v>638</v>
      </c>
      <c r="C559" s="288">
        <v>60</v>
      </c>
      <c r="D559" s="288">
        <v>100</v>
      </c>
      <c r="E559" s="288">
        <v>64</v>
      </c>
      <c r="F559" s="288">
        <v>1.1999999999999999E-3</v>
      </c>
    </row>
    <row r="560" spans="1:6">
      <c r="A560" s="288" t="s">
        <v>637</v>
      </c>
      <c r="B560" s="288" t="s">
        <v>638</v>
      </c>
      <c r="C560" s="288">
        <v>60</v>
      </c>
      <c r="D560" s="288">
        <v>200</v>
      </c>
      <c r="E560" s="288">
        <v>53</v>
      </c>
      <c r="F560" s="288">
        <v>2.3999999999999998E-3</v>
      </c>
    </row>
    <row r="561" spans="1:6">
      <c r="A561" s="288" t="s">
        <v>637</v>
      </c>
      <c r="B561" s="288" t="s">
        <v>638</v>
      </c>
      <c r="C561" s="288">
        <v>60</v>
      </c>
      <c r="D561" s="288">
        <v>300</v>
      </c>
      <c r="E561" s="288">
        <v>50</v>
      </c>
      <c r="F561" s="288">
        <v>3.5000000000000001E-3</v>
      </c>
    </row>
    <row r="562" spans="1:6">
      <c r="A562" s="288" t="s">
        <v>637</v>
      </c>
      <c r="B562" s="288" t="s">
        <v>638</v>
      </c>
      <c r="C562" s="288">
        <v>60</v>
      </c>
      <c r="D562" s="288">
        <v>400</v>
      </c>
      <c r="E562" s="288">
        <v>47</v>
      </c>
      <c r="F562" s="288">
        <v>4.1999999999999997E-3</v>
      </c>
    </row>
    <row r="563" spans="1:6">
      <c r="A563" s="288" t="s">
        <v>637</v>
      </c>
      <c r="B563" s="288" t="s">
        <v>638</v>
      </c>
      <c r="C563" s="288">
        <v>60</v>
      </c>
      <c r="D563" s="288">
        <v>500</v>
      </c>
      <c r="E563" s="288">
        <v>45</v>
      </c>
      <c r="F563" s="288">
        <v>5.1999999999999998E-3</v>
      </c>
    </row>
    <row r="564" spans="1:6">
      <c r="A564" s="288" t="s">
        <v>637</v>
      </c>
      <c r="B564" s="288" t="s">
        <v>638</v>
      </c>
      <c r="C564" s="288">
        <v>60</v>
      </c>
      <c r="D564" s="288">
        <v>600</v>
      </c>
      <c r="E564" s="288">
        <v>44</v>
      </c>
      <c r="F564" s="288">
        <v>6.1000000000000004E-3</v>
      </c>
    </row>
    <row r="565" spans="1:6">
      <c r="A565" s="288" t="s">
        <v>637</v>
      </c>
      <c r="B565" s="288" t="s">
        <v>638</v>
      </c>
      <c r="C565" s="288">
        <v>60</v>
      </c>
      <c r="D565" s="288">
        <v>700</v>
      </c>
      <c r="E565" s="288">
        <v>44</v>
      </c>
      <c r="F565" s="288">
        <v>6.8999999999999999E-3</v>
      </c>
    </row>
    <row r="566" spans="1:6">
      <c r="A566" s="288" t="s">
        <v>637</v>
      </c>
      <c r="B566" s="288" t="s">
        <v>638</v>
      </c>
      <c r="C566" s="288">
        <v>60</v>
      </c>
      <c r="D566" s="288">
        <v>800</v>
      </c>
      <c r="E566" s="288">
        <v>43</v>
      </c>
      <c r="F566" s="288">
        <v>8.0000000000000002E-3</v>
      </c>
    </row>
    <row r="567" spans="1:6">
      <c r="A567" s="288" t="s">
        <v>637</v>
      </c>
      <c r="B567" s="288" t="s">
        <v>638</v>
      </c>
      <c r="C567" s="288">
        <v>60</v>
      </c>
      <c r="D567" s="288">
        <v>900</v>
      </c>
      <c r="E567" s="288">
        <v>42</v>
      </c>
      <c r="F567" s="288">
        <v>8.5000000000000006E-3</v>
      </c>
    </row>
    <row r="568" spans="1:6">
      <c r="A568" s="288" t="s">
        <v>637</v>
      </c>
      <c r="B568" s="288" t="s">
        <v>638</v>
      </c>
      <c r="C568" s="288">
        <v>60</v>
      </c>
      <c r="D568" s="288">
        <v>1000</v>
      </c>
      <c r="E568" s="288">
        <v>41</v>
      </c>
      <c r="F568" s="288">
        <v>8.9999999999999993E-3</v>
      </c>
    </row>
    <row r="569" spans="1:6">
      <c r="A569" s="288" t="s">
        <v>637</v>
      </c>
      <c r="B569" s="288" t="s">
        <v>638</v>
      </c>
      <c r="C569" s="288">
        <v>60</v>
      </c>
      <c r="D569" s="288">
        <v>2000</v>
      </c>
      <c r="E569" s="288">
        <v>30</v>
      </c>
      <c r="F569" s="288">
        <v>1.6E-2</v>
      </c>
    </row>
    <row r="570" spans="1:6">
      <c r="A570" s="288" t="s">
        <v>637</v>
      </c>
      <c r="B570" s="288" t="s">
        <v>638</v>
      </c>
      <c r="C570" s="288">
        <v>60</v>
      </c>
      <c r="D570" s="288">
        <v>3000</v>
      </c>
      <c r="E570" s="288">
        <v>27</v>
      </c>
      <c r="F570" s="288">
        <v>2.4E-2</v>
      </c>
    </row>
    <row r="571" spans="1:6">
      <c r="A571" s="288" t="s">
        <v>637</v>
      </c>
      <c r="B571" s="288" t="s">
        <v>638</v>
      </c>
      <c r="C571" s="288">
        <v>60</v>
      </c>
      <c r="D571" s="288">
        <v>4000</v>
      </c>
      <c r="E571" s="288">
        <v>28</v>
      </c>
      <c r="F571" s="288">
        <v>3.5999999999999997E-2</v>
      </c>
    </row>
    <row r="572" spans="1:6">
      <c r="A572" s="288" t="s">
        <v>637</v>
      </c>
      <c r="B572" s="288" t="s">
        <v>638</v>
      </c>
      <c r="C572" s="288">
        <v>60</v>
      </c>
      <c r="D572" s="288">
        <v>5000</v>
      </c>
      <c r="E572" s="288">
        <v>32</v>
      </c>
      <c r="F572" s="288">
        <v>0.06</v>
      </c>
    </row>
    <row r="573" spans="1:6">
      <c r="A573" s="288" t="s">
        <v>637</v>
      </c>
      <c r="B573" s="288" t="s">
        <v>638</v>
      </c>
      <c r="C573" s="288">
        <v>60</v>
      </c>
      <c r="D573" s="288">
        <v>6000</v>
      </c>
      <c r="E573" s="288">
        <v>43</v>
      </c>
      <c r="F573" s="288">
        <v>0.12</v>
      </c>
    </row>
    <row r="574" spans="1:6">
      <c r="A574" s="288" t="s">
        <v>637</v>
      </c>
      <c r="B574" s="288" t="s">
        <v>640</v>
      </c>
      <c r="C574" s="288">
        <v>50</v>
      </c>
      <c r="D574" s="288">
        <v>10</v>
      </c>
      <c r="E574" s="288">
        <v>89</v>
      </c>
      <c r="F574" s="288">
        <v>2.7E-4</v>
      </c>
    </row>
    <row r="575" spans="1:6">
      <c r="A575" s="288" t="s">
        <v>637</v>
      </c>
      <c r="B575" s="288" t="s">
        <v>640</v>
      </c>
      <c r="C575" s="288">
        <v>50</v>
      </c>
      <c r="D575" s="288">
        <v>20</v>
      </c>
      <c r="E575" s="288">
        <v>85</v>
      </c>
      <c r="F575" s="288">
        <v>5.0000000000000001E-4</v>
      </c>
    </row>
    <row r="576" spans="1:6">
      <c r="A576" s="288" t="s">
        <v>637</v>
      </c>
      <c r="B576" s="288" t="s">
        <v>640</v>
      </c>
      <c r="C576" s="288">
        <v>50</v>
      </c>
      <c r="D576" s="288">
        <v>30</v>
      </c>
      <c r="E576" s="288">
        <v>83</v>
      </c>
      <c r="F576" s="288">
        <v>6.9999999999999999E-4</v>
      </c>
    </row>
    <row r="577" spans="1:6">
      <c r="A577" s="288" t="s">
        <v>637</v>
      </c>
      <c r="B577" s="288" t="s">
        <v>640</v>
      </c>
      <c r="C577" s="288">
        <v>50</v>
      </c>
      <c r="D577" s="288">
        <v>40</v>
      </c>
      <c r="E577" s="288">
        <v>81</v>
      </c>
      <c r="F577" s="288">
        <v>8.8999999999999995E-4</v>
      </c>
    </row>
    <row r="578" spans="1:6">
      <c r="A578" s="288" t="s">
        <v>637</v>
      </c>
      <c r="B578" s="288" t="s">
        <v>640</v>
      </c>
      <c r="C578" s="288">
        <v>50</v>
      </c>
      <c r="D578" s="288">
        <v>50</v>
      </c>
      <c r="E578" s="288">
        <v>79.5</v>
      </c>
      <c r="F578" s="288">
        <v>1.15E-3</v>
      </c>
    </row>
    <row r="579" spans="1:6">
      <c r="A579" s="288" t="s">
        <v>637</v>
      </c>
      <c r="B579" s="288" t="s">
        <v>640</v>
      </c>
      <c r="C579" s="288">
        <v>50</v>
      </c>
      <c r="D579" s="288">
        <v>60</v>
      </c>
      <c r="E579" s="288">
        <v>78.3</v>
      </c>
      <c r="F579" s="288">
        <v>1.2999999999999999E-3</v>
      </c>
    </row>
    <row r="580" spans="1:6">
      <c r="A580" s="288" t="s">
        <v>637</v>
      </c>
      <c r="B580" s="288" t="s">
        <v>640</v>
      </c>
      <c r="C580" s="288">
        <v>50</v>
      </c>
      <c r="D580" s="288">
        <v>70</v>
      </c>
      <c r="E580" s="288">
        <v>77</v>
      </c>
      <c r="F580" s="288">
        <v>1.5E-3</v>
      </c>
    </row>
    <row r="581" spans="1:6">
      <c r="A581" s="288" t="s">
        <v>637</v>
      </c>
      <c r="B581" s="288" t="s">
        <v>640</v>
      </c>
      <c r="C581" s="288">
        <v>50</v>
      </c>
      <c r="D581" s="288">
        <v>80</v>
      </c>
      <c r="E581" s="288">
        <v>75.5</v>
      </c>
      <c r="F581" s="288">
        <v>1.6999999999999999E-3</v>
      </c>
    </row>
    <row r="582" spans="1:6">
      <c r="A582" s="288" t="s">
        <v>637</v>
      </c>
      <c r="B582" s="288" t="s">
        <v>640</v>
      </c>
      <c r="C582" s="288">
        <v>50</v>
      </c>
      <c r="D582" s="288">
        <v>90</v>
      </c>
      <c r="E582" s="288">
        <v>75</v>
      </c>
      <c r="F582" s="288">
        <v>1.8E-3</v>
      </c>
    </row>
    <row r="583" spans="1:6">
      <c r="A583" s="288" t="s">
        <v>637</v>
      </c>
      <c r="B583" s="288" t="s">
        <v>640</v>
      </c>
      <c r="C583" s="288">
        <v>50</v>
      </c>
      <c r="D583" s="288">
        <v>100</v>
      </c>
      <c r="E583" s="288">
        <v>73</v>
      </c>
      <c r="F583" s="288">
        <v>1.9499999999999999E-3</v>
      </c>
    </row>
    <row r="584" spans="1:6">
      <c r="A584" s="288" t="s">
        <v>637</v>
      </c>
      <c r="B584" s="288" t="s">
        <v>640</v>
      </c>
      <c r="C584" s="288">
        <v>50</v>
      </c>
      <c r="D584" s="288">
        <v>200</v>
      </c>
      <c r="E584" s="288">
        <v>65.12</v>
      </c>
      <c r="F584" s="288">
        <v>3.3E-3</v>
      </c>
    </row>
    <row r="585" spans="1:6">
      <c r="A585" s="288" t="s">
        <v>637</v>
      </c>
      <c r="B585" s="288" t="s">
        <v>640</v>
      </c>
      <c r="C585" s="288">
        <v>50</v>
      </c>
      <c r="D585" s="288">
        <v>300</v>
      </c>
      <c r="E585" s="288">
        <v>61</v>
      </c>
      <c r="F585" s="288">
        <v>4.5999999999999999E-3</v>
      </c>
    </row>
    <row r="586" spans="1:6">
      <c r="A586" s="288" t="s">
        <v>637</v>
      </c>
      <c r="B586" s="288" t="s">
        <v>640</v>
      </c>
      <c r="C586" s="288">
        <v>50</v>
      </c>
      <c r="D586" s="288">
        <v>400</v>
      </c>
      <c r="E586" s="288">
        <v>58.74</v>
      </c>
      <c r="F586" s="288">
        <v>5.7999999999999996E-3</v>
      </c>
    </row>
    <row r="587" spans="1:6">
      <c r="A587" s="288" t="s">
        <v>637</v>
      </c>
      <c r="B587" s="288" t="s">
        <v>640</v>
      </c>
      <c r="C587" s="288">
        <v>50</v>
      </c>
      <c r="D587" s="288">
        <v>500</v>
      </c>
      <c r="E587" s="288">
        <v>57</v>
      </c>
      <c r="F587" s="288">
        <v>6.7999999999999996E-3</v>
      </c>
    </row>
    <row r="588" spans="1:6">
      <c r="A588" s="288" t="s">
        <v>637</v>
      </c>
      <c r="B588" s="288" t="s">
        <v>640</v>
      </c>
      <c r="C588" s="288">
        <v>50</v>
      </c>
      <c r="D588" s="288">
        <v>600</v>
      </c>
      <c r="E588" s="288">
        <v>55</v>
      </c>
      <c r="F588" s="288">
        <v>7.7000000000000002E-3</v>
      </c>
    </row>
    <row r="589" spans="1:6">
      <c r="A589" s="288" t="s">
        <v>637</v>
      </c>
      <c r="B589" s="288" t="s">
        <v>640</v>
      </c>
      <c r="C589" s="288">
        <v>50</v>
      </c>
      <c r="D589" s="288">
        <v>700</v>
      </c>
      <c r="E589" s="288">
        <v>52.51</v>
      </c>
      <c r="F589" s="288">
        <v>8.5000000000000006E-3</v>
      </c>
    </row>
    <row r="590" spans="1:6">
      <c r="A590" s="288" t="s">
        <v>637</v>
      </c>
      <c r="B590" s="288" t="s">
        <v>640</v>
      </c>
      <c r="C590" s="288">
        <v>50</v>
      </c>
      <c r="D590" s="288">
        <v>800</v>
      </c>
      <c r="E590" s="288">
        <v>51</v>
      </c>
      <c r="F590" s="288">
        <v>9.1999999999999998E-3</v>
      </c>
    </row>
    <row r="591" spans="1:6">
      <c r="A591" s="288" t="s">
        <v>637</v>
      </c>
      <c r="B591" s="288" t="s">
        <v>640</v>
      </c>
      <c r="C591" s="288">
        <v>50</v>
      </c>
      <c r="D591" s="288">
        <v>900</v>
      </c>
      <c r="E591" s="288">
        <v>49</v>
      </c>
      <c r="F591" s="288">
        <v>0.01</v>
      </c>
    </row>
    <row r="592" spans="1:6">
      <c r="A592" s="288" t="s">
        <v>637</v>
      </c>
      <c r="B592" s="288" t="s">
        <v>640</v>
      </c>
      <c r="C592" s="288">
        <v>50</v>
      </c>
      <c r="D592" s="288">
        <v>1000</v>
      </c>
      <c r="E592" s="288">
        <v>47.91</v>
      </c>
      <c r="F592" s="288">
        <v>1.06E-2</v>
      </c>
    </row>
    <row r="593" spans="1:6">
      <c r="A593" s="288" t="s">
        <v>637</v>
      </c>
      <c r="B593" s="288" t="s">
        <v>640</v>
      </c>
      <c r="C593" s="288">
        <v>50</v>
      </c>
      <c r="D593" s="288">
        <v>1500</v>
      </c>
      <c r="E593" s="288">
        <v>41.79</v>
      </c>
      <c r="F593" s="288">
        <v>1.34E-2</v>
      </c>
    </row>
    <row r="594" spans="1:6">
      <c r="A594" s="288" t="s">
        <v>637</v>
      </c>
      <c r="B594" s="288" t="s">
        <v>640</v>
      </c>
      <c r="C594" s="288">
        <v>50</v>
      </c>
      <c r="D594" s="288">
        <v>2000</v>
      </c>
      <c r="E594" s="288">
        <v>36.99</v>
      </c>
      <c r="F594" s="288">
        <v>1.55E-2</v>
      </c>
    </row>
    <row r="595" spans="1:6">
      <c r="A595" s="288" t="s">
        <v>637</v>
      </c>
      <c r="B595" s="288" t="s">
        <v>640</v>
      </c>
      <c r="C595" s="288">
        <v>50</v>
      </c>
      <c r="D595" s="288">
        <v>2500</v>
      </c>
      <c r="E595" s="288">
        <v>32.5</v>
      </c>
      <c r="F595" s="288">
        <v>1.7000000000000001E-2</v>
      </c>
    </row>
    <row r="596" spans="1:6">
      <c r="A596" s="288" t="s">
        <v>637</v>
      </c>
      <c r="B596" s="288" t="s">
        <v>640</v>
      </c>
      <c r="C596" s="288">
        <v>50</v>
      </c>
      <c r="D596" s="288">
        <v>3000</v>
      </c>
      <c r="E596" s="288">
        <v>28.2</v>
      </c>
      <c r="F596" s="288">
        <v>1.78E-2</v>
      </c>
    </row>
    <row r="597" spans="1:6">
      <c r="A597" s="288" t="s">
        <v>637</v>
      </c>
      <c r="B597" s="288" t="s">
        <v>640</v>
      </c>
      <c r="C597" s="288">
        <v>50</v>
      </c>
      <c r="D597" s="288">
        <v>3500</v>
      </c>
      <c r="E597" s="288">
        <v>26</v>
      </c>
      <c r="F597" s="288">
        <v>1.9E-2</v>
      </c>
    </row>
    <row r="598" spans="1:6">
      <c r="A598" s="288" t="s">
        <v>637</v>
      </c>
      <c r="B598" s="288" t="s">
        <v>640</v>
      </c>
      <c r="C598" s="288">
        <v>50</v>
      </c>
      <c r="D598" s="288">
        <v>4000</v>
      </c>
      <c r="E598" s="288">
        <v>25.24</v>
      </c>
      <c r="F598" s="288">
        <v>2.1100000000000001E-2</v>
      </c>
    </row>
    <row r="599" spans="1:6">
      <c r="A599" s="288" t="s">
        <v>637</v>
      </c>
      <c r="B599" s="288" t="s">
        <v>640</v>
      </c>
      <c r="C599" s="288">
        <v>50</v>
      </c>
      <c r="D599" s="288">
        <v>4500</v>
      </c>
      <c r="E599" s="288">
        <v>26.5</v>
      </c>
      <c r="F599" s="288">
        <v>2.3E-2</v>
      </c>
    </row>
    <row r="600" spans="1:6">
      <c r="A600" s="288" t="s">
        <v>637</v>
      </c>
      <c r="B600" s="288" t="s">
        <v>640</v>
      </c>
      <c r="C600" s="288">
        <v>50</v>
      </c>
      <c r="D600" s="288">
        <v>5000</v>
      </c>
      <c r="E600" s="288">
        <v>29.93</v>
      </c>
      <c r="F600" s="288">
        <v>2.52E-2</v>
      </c>
    </row>
    <row r="601" spans="1:6">
      <c r="A601" s="288" t="s">
        <v>637</v>
      </c>
      <c r="B601" s="288" t="s">
        <v>640</v>
      </c>
      <c r="C601" s="288">
        <v>50</v>
      </c>
      <c r="D601" s="288">
        <v>5500</v>
      </c>
      <c r="E601" s="288">
        <v>41</v>
      </c>
      <c r="F601" s="288">
        <v>3.5000000000000003E-2</v>
      </c>
    </row>
    <row r="602" spans="1:6">
      <c r="A602" s="288" t="s">
        <v>637</v>
      </c>
      <c r="B602" s="288" t="s">
        <v>640</v>
      </c>
      <c r="C602" s="288">
        <v>50</v>
      </c>
      <c r="D602" s="288">
        <v>6000</v>
      </c>
      <c r="E602" s="288">
        <v>55.86</v>
      </c>
      <c r="F602" s="288">
        <v>7.6100000000000001E-2</v>
      </c>
    </row>
    <row r="603" spans="1:6">
      <c r="A603" s="288" t="s">
        <v>637</v>
      </c>
      <c r="B603" s="288" t="s">
        <v>640</v>
      </c>
      <c r="C603" s="288">
        <v>50</v>
      </c>
      <c r="D603" s="288">
        <v>6500</v>
      </c>
      <c r="E603" s="288">
        <v>70</v>
      </c>
      <c r="F603" s="288">
        <v>0.2</v>
      </c>
    </row>
    <row r="604" spans="1:6">
      <c r="A604" s="288" t="s">
        <v>637</v>
      </c>
      <c r="B604" s="288" t="s">
        <v>640</v>
      </c>
      <c r="C604" s="288">
        <v>50</v>
      </c>
      <c r="D604" s="288">
        <v>7000</v>
      </c>
      <c r="E604" s="288">
        <v>82.59</v>
      </c>
      <c r="F604" s="288">
        <v>0.52480000000000004</v>
      </c>
    </row>
    <row r="605" spans="1:6">
      <c r="A605" s="288" t="s">
        <v>637</v>
      </c>
      <c r="B605" s="288" t="s">
        <v>640</v>
      </c>
      <c r="C605" s="288">
        <v>60</v>
      </c>
      <c r="D605" s="288">
        <v>10</v>
      </c>
      <c r="E605" s="288">
        <v>87</v>
      </c>
      <c r="F605" s="288">
        <v>2.3000000000000001E-4</v>
      </c>
    </row>
    <row r="606" spans="1:6">
      <c r="A606" s="288" t="s">
        <v>637</v>
      </c>
      <c r="B606" s="288" t="s">
        <v>640</v>
      </c>
      <c r="C606" s="288">
        <v>60</v>
      </c>
      <c r="D606" s="288">
        <v>20</v>
      </c>
      <c r="E606" s="288">
        <v>82.5</v>
      </c>
      <c r="F606" s="288">
        <v>4.8999999999999998E-4</v>
      </c>
    </row>
    <row r="607" spans="1:6">
      <c r="A607" s="288" t="s">
        <v>637</v>
      </c>
      <c r="B607" s="288" t="s">
        <v>640</v>
      </c>
      <c r="C607" s="288">
        <v>60</v>
      </c>
      <c r="D607" s="288">
        <v>30</v>
      </c>
      <c r="E607" s="288">
        <v>81</v>
      </c>
      <c r="F607" s="288">
        <v>7.5000000000000002E-4</v>
      </c>
    </row>
    <row r="608" spans="1:6">
      <c r="A608" s="288" t="s">
        <v>637</v>
      </c>
      <c r="B608" s="288" t="s">
        <v>640</v>
      </c>
      <c r="C608" s="288">
        <v>60</v>
      </c>
      <c r="D608" s="288">
        <v>40</v>
      </c>
      <c r="E608" s="288">
        <v>78.3</v>
      </c>
      <c r="F608" s="288">
        <v>1.1000000000000001E-3</v>
      </c>
    </row>
    <row r="609" spans="1:6">
      <c r="A609" s="288" t="s">
        <v>637</v>
      </c>
      <c r="B609" s="288" t="s">
        <v>640</v>
      </c>
      <c r="C609" s="288">
        <v>60</v>
      </c>
      <c r="D609" s="288">
        <v>50</v>
      </c>
      <c r="E609" s="288">
        <v>76.5</v>
      </c>
      <c r="F609" s="288">
        <v>1.4E-3</v>
      </c>
    </row>
    <row r="610" spans="1:6">
      <c r="A610" s="288" t="s">
        <v>637</v>
      </c>
      <c r="B610" s="288" t="s">
        <v>640</v>
      </c>
      <c r="C610" s="288">
        <v>60</v>
      </c>
      <c r="D610" s="288">
        <v>60</v>
      </c>
      <c r="E610" s="288">
        <v>75.5</v>
      </c>
      <c r="F610" s="288">
        <v>1.6000000000000001E-3</v>
      </c>
    </row>
    <row r="611" spans="1:6">
      <c r="A611" s="288" t="s">
        <v>637</v>
      </c>
      <c r="B611" s="288" t="s">
        <v>640</v>
      </c>
      <c r="C611" s="288">
        <v>60</v>
      </c>
      <c r="D611" s="288">
        <v>70</v>
      </c>
      <c r="E611" s="288">
        <v>74</v>
      </c>
      <c r="F611" s="288">
        <v>1.8E-3</v>
      </c>
    </row>
    <row r="612" spans="1:6">
      <c r="A612" s="288" t="s">
        <v>637</v>
      </c>
      <c r="B612" s="288" t="s">
        <v>640</v>
      </c>
      <c r="C612" s="288">
        <v>60</v>
      </c>
      <c r="D612" s="288">
        <v>80</v>
      </c>
      <c r="E612" s="288">
        <v>72.5</v>
      </c>
      <c r="F612" s="288">
        <v>2.0100000000000001E-3</v>
      </c>
    </row>
    <row r="613" spans="1:6">
      <c r="A613" s="288" t="s">
        <v>637</v>
      </c>
      <c r="B613" s="288" t="s">
        <v>640</v>
      </c>
      <c r="C613" s="288">
        <v>60</v>
      </c>
      <c r="D613" s="288">
        <v>90</v>
      </c>
      <c r="E613" s="288">
        <v>72</v>
      </c>
      <c r="F613" s="288">
        <v>2.3999999999999998E-3</v>
      </c>
    </row>
    <row r="614" spans="1:6">
      <c r="A614" s="288" t="s">
        <v>637</v>
      </c>
      <c r="B614" s="288" t="s">
        <v>640</v>
      </c>
      <c r="C614" s="288">
        <v>60</v>
      </c>
      <c r="D614" s="288">
        <v>100</v>
      </c>
      <c r="E614" s="288">
        <v>71</v>
      </c>
      <c r="F614" s="288">
        <v>2.8E-3</v>
      </c>
    </row>
    <row r="615" spans="1:6">
      <c r="A615" s="288" t="s">
        <v>637</v>
      </c>
      <c r="B615" s="288" t="s">
        <v>640</v>
      </c>
      <c r="C615" s="288">
        <v>60</v>
      </c>
      <c r="D615" s="288">
        <v>200</v>
      </c>
      <c r="E615" s="288">
        <v>63.92</v>
      </c>
      <c r="F615" s="288">
        <v>4.8999999999999998E-3</v>
      </c>
    </row>
    <row r="616" spans="1:6">
      <c r="A616" s="288" t="s">
        <v>637</v>
      </c>
      <c r="B616" s="288" t="s">
        <v>640</v>
      </c>
      <c r="C616" s="288">
        <v>60</v>
      </c>
      <c r="D616" s="288">
        <v>300</v>
      </c>
      <c r="E616" s="288">
        <v>60.3</v>
      </c>
      <c r="F616" s="288">
        <v>6.8999999999999999E-3</v>
      </c>
    </row>
    <row r="617" spans="1:6">
      <c r="A617" s="288" t="s">
        <v>637</v>
      </c>
      <c r="B617" s="288" t="s">
        <v>640</v>
      </c>
      <c r="C617" s="288">
        <v>60</v>
      </c>
      <c r="D617" s="288">
        <v>400</v>
      </c>
      <c r="E617" s="288">
        <v>57.92</v>
      </c>
      <c r="F617" s="288">
        <v>8.5000000000000006E-3</v>
      </c>
    </row>
    <row r="618" spans="1:6">
      <c r="A618" s="288" t="s">
        <v>637</v>
      </c>
      <c r="B618" s="288" t="s">
        <v>640</v>
      </c>
      <c r="C618" s="288">
        <v>60</v>
      </c>
      <c r="D618" s="288">
        <v>500</v>
      </c>
      <c r="E618" s="288">
        <v>56</v>
      </c>
      <c r="F618" s="288">
        <v>0.01</v>
      </c>
    </row>
    <row r="619" spans="1:6">
      <c r="A619" s="288" t="s">
        <v>637</v>
      </c>
      <c r="B619" s="288" t="s">
        <v>640</v>
      </c>
      <c r="C619" s="288">
        <v>60</v>
      </c>
      <c r="D619" s="288">
        <v>600</v>
      </c>
      <c r="E619" s="288">
        <v>54</v>
      </c>
      <c r="F619" s="288">
        <v>1.2500000000000001E-2</v>
      </c>
    </row>
    <row r="620" spans="1:6">
      <c r="A620" s="288" t="s">
        <v>637</v>
      </c>
      <c r="B620" s="288" t="s">
        <v>640</v>
      </c>
      <c r="C620" s="288">
        <v>60</v>
      </c>
      <c r="D620" s="288">
        <v>700</v>
      </c>
      <c r="E620" s="288">
        <v>51.83</v>
      </c>
      <c r="F620" s="288">
        <v>1.4E-2</v>
      </c>
    </row>
    <row r="621" spans="1:6">
      <c r="A621" s="288" t="s">
        <v>637</v>
      </c>
      <c r="B621" s="288" t="s">
        <v>640</v>
      </c>
      <c r="C621" s="288">
        <v>60</v>
      </c>
      <c r="D621" s="288">
        <v>800</v>
      </c>
      <c r="E621" s="288">
        <v>50</v>
      </c>
      <c r="F621" s="288">
        <v>1.4999999999999999E-2</v>
      </c>
    </row>
    <row r="622" spans="1:6">
      <c r="A622" s="288" t="s">
        <v>637</v>
      </c>
      <c r="B622" s="288" t="s">
        <v>640</v>
      </c>
      <c r="C622" s="288">
        <v>60</v>
      </c>
      <c r="D622" s="288">
        <v>900</v>
      </c>
      <c r="E622" s="288">
        <v>48</v>
      </c>
      <c r="F622" s="288">
        <v>1.6500000000000001E-2</v>
      </c>
    </row>
    <row r="623" spans="1:6">
      <c r="A623" s="288" t="s">
        <v>637</v>
      </c>
      <c r="B623" s="288" t="s">
        <v>640</v>
      </c>
      <c r="C623" s="288">
        <v>60</v>
      </c>
      <c r="D623" s="288">
        <v>1000</v>
      </c>
      <c r="E623" s="288">
        <v>47.12</v>
      </c>
      <c r="F623" s="288">
        <v>1.7500000000000002E-2</v>
      </c>
    </row>
    <row r="624" spans="1:6">
      <c r="A624" s="288" t="s">
        <v>637</v>
      </c>
      <c r="B624" s="288" t="s">
        <v>640</v>
      </c>
      <c r="C624" s="288">
        <v>60</v>
      </c>
      <c r="D624" s="288">
        <v>1500</v>
      </c>
      <c r="E624" s="288">
        <v>40.54</v>
      </c>
      <c r="F624" s="288">
        <v>1.95E-2</v>
      </c>
    </row>
    <row r="625" spans="1:6">
      <c r="A625" s="288" t="s">
        <v>637</v>
      </c>
      <c r="B625" s="288" t="s">
        <v>640</v>
      </c>
      <c r="C625" s="288">
        <v>60</v>
      </c>
      <c r="D625" s="288">
        <v>2000</v>
      </c>
      <c r="E625" s="288">
        <v>37.729999999999997</v>
      </c>
      <c r="F625" s="288">
        <v>2.4500000000000001E-2</v>
      </c>
    </row>
    <row r="626" spans="1:6">
      <c r="A626" s="288" t="s">
        <v>637</v>
      </c>
      <c r="B626" s="288" t="s">
        <v>640</v>
      </c>
      <c r="C626" s="288">
        <v>60</v>
      </c>
      <c r="D626" s="288">
        <v>2500</v>
      </c>
      <c r="E626" s="288">
        <v>30</v>
      </c>
      <c r="F626" s="288">
        <v>2.5499999999999998E-2</v>
      </c>
    </row>
    <row r="627" spans="1:6">
      <c r="A627" s="288" t="s">
        <v>637</v>
      </c>
      <c r="B627" s="288" t="s">
        <v>640</v>
      </c>
      <c r="C627" s="288">
        <v>60</v>
      </c>
      <c r="D627" s="288">
        <v>3000</v>
      </c>
      <c r="E627" s="288">
        <v>25.55</v>
      </c>
      <c r="F627" s="288">
        <v>2.8000000000000001E-2</v>
      </c>
    </row>
    <row r="628" spans="1:6">
      <c r="A628" s="288" t="s">
        <v>637</v>
      </c>
      <c r="B628" s="288" t="s">
        <v>640</v>
      </c>
      <c r="C628" s="288">
        <v>60</v>
      </c>
      <c r="D628" s="288">
        <v>3500</v>
      </c>
      <c r="E628" s="288">
        <v>22</v>
      </c>
      <c r="F628" s="288">
        <v>2.8500000000000001E-2</v>
      </c>
    </row>
    <row r="629" spans="1:6">
      <c r="A629" s="288" t="s">
        <v>637</v>
      </c>
      <c r="B629" s="288" t="s">
        <v>640</v>
      </c>
      <c r="C629" s="288">
        <v>60</v>
      </c>
      <c r="D629" s="288">
        <v>4000</v>
      </c>
      <c r="E629" s="288">
        <v>19.579999999999998</v>
      </c>
      <c r="F629" s="288">
        <v>0.03</v>
      </c>
    </row>
    <row r="630" spans="1:6">
      <c r="A630" s="288" t="s">
        <v>637</v>
      </c>
      <c r="B630" s="288" t="s">
        <v>640</v>
      </c>
      <c r="C630" s="288">
        <v>60</v>
      </c>
      <c r="D630" s="288">
        <v>4500</v>
      </c>
      <c r="E630" s="288">
        <v>20.5</v>
      </c>
      <c r="F630" s="288">
        <v>3.3000000000000002E-2</v>
      </c>
    </row>
    <row r="631" spans="1:6">
      <c r="A631" s="288" t="s">
        <v>637</v>
      </c>
      <c r="B631" s="288" t="s">
        <v>640</v>
      </c>
      <c r="C631" s="288">
        <v>60</v>
      </c>
      <c r="D631" s="288">
        <v>5000</v>
      </c>
      <c r="E631" s="288">
        <v>23.1</v>
      </c>
      <c r="F631" s="288">
        <v>3.7999999999999999E-2</v>
      </c>
    </row>
    <row r="632" spans="1:6">
      <c r="A632" s="288" t="s">
        <v>637</v>
      </c>
      <c r="B632" s="288" t="s">
        <v>640</v>
      </c>
      <c r="C632" s="288">
        <v>60</v>
      </c>
      <c r="D632" s="288">
        <v>5500</v>
      </c>
      <c r="E632" s="288">
        <v>35</v>
      </c>
      <c r="F632" s="288">
        <v>0.06</v>
      </c>
    </row>
    <row r="633" spans="1:6">
      <c r="A633" s="288" t="s">
        <v>637</v>
      </c>
      <c r="B633" s="288" t="s">
        <v>640</v>
      </c>
      <c r="C633" s="288">
        <v>60</v>
      </c>
      <c r="D633" s="288">
        <v>6000</v>
      </c>
      <c r="E633" s="288">
        <v>50.57</v>
      </c>
      <c r="F633" s="288">
        <v>0.14499999999999999</v>
      </c>
    </row>
    <row r="634" spans="1:6">
      <c r="A634" s="288" t="s">
        <v>637</v>
      </c>
      <c r="B634" s="288" t="s">
        <v>640</v>
      </c>
      <c r="C634" s="288">
        <v>60</v>
      </c>
      <c r="D634" s="288">
        <v>6500</v>
      </c>
      <c r="E634" s="288">
        <v>67</v>
      </c>
      <c r="F634" s="288">
        <v>0.4</v>
      </c>
    </row>
    <row r="635" spans="1:6">
      <c r="A635" s="288" t="s">
        <v>637</v>
      </c>
      <c r="B635" s="288" t="s">
        <v>640</v>
      </c>
      <c r="C635" s="288">
        <v>60</v>
      </c>
      <c r="D635" s="288">
        <v>7000</v>
      </c>
      <c r="E635" s="288">
        <v>76.98</v>
      </c>
      <c r="F635" s="288">
        <v>1.3</v>
      </c>
    </row>
    <row r="636" spans="1:6">
      <c r="A636" s="288" t="s">
        <v>637</v>
      </c>
      <c r="B636" s="288" t="s">
        <v>642</v>
      </c>
      <c r="C636" s="288">
        <v>50</v>
      </c>
      <c r="D636" s="288">
        <v>20</v>
      </c>
      <c r="E636" s="288">
        <v>0.56999999999999995</v>
      </c>
      <c r="F636" s="288">
        <v>5.0000000000000001E-3</v>
      </c>
    </row>
    <row r="637" spans="1:6">
      <c r="A637" s="288" t="s">
        <v>637</v>
      </c>
      <c r="B637" s="288" t="s">
        <v>642</v>
      </c>
      <c r="C637" s="288">
        <v>50</v>
      </c>
      <c r="D637" s="288">
        <v>30</v>
      </c>
      <c r="E637" s="288">
        <v>1.5</v>
      </c>
      <c r="F637" s="288">
        <v>7.0000000000000001E-3</v>
      </c>
    </row>
    <row r="638" spans="1:6">
      <c r="A638" s="288" t="s">
        <v>637</v>
      </c>
      <c r="B638" s="288" t="s">
        <v>642</v>
      </c>
      <c r="C638" s="288">
        <v>50</v>
      </c>
      <c r="D638" s="288">
        <v>40</v>
      </c>
      <c r="E638" s="288">
        <v>2.5</v>
      </c>
      <c r="F638" s="288">
        <v>8.9999999999999993E-3</v>
      </c>
    </row>
    <row r="639" spans="1:6">
      <c r="A639" s="288" t="s">
        <v>637</v>
      </c>
      <c r="B639" s="288" t="s">
        <v>642</v>
      </c>
      <c r="C639" s="288">
        <v>50</v>
      </c>
      <c r="D639" s="288">
        <v>50</v>
      </c>
      <c r="E639" s="288">
        <v>4</v>
      </c>
      <c r="F639" s="288">
        <v>1.2E-2</v>
      </c>
    </row>
    <row r="640" spans="1:6">
      <c r="A640" s="288" t="s">
        <v>637</v>
      </c>
      <c r="B640" s="288" t="s">
        <v>642</v>
      </c>
      <c r="C640" s="288">
        <v>50</v>
      </c>
      <c r="D640" s="288">
        <v>60</v>
      </c>
      <c r="E640" s="288">
        <v>5.5</v>
      </c>
      <c r="F640" s="288">
        <v>1.4E-2</v>
      </c>
    </row>
    <row r="641" spans="1:6">
      <c r="A641" s="288" t="s">
        <v>637</v>
      </c>
      <c r="B641" s="288" t="s">
        <v>642</v>
      </c>
      <c r="C641" s="288">
        <v>50</v>
      </c>
      <c r="D641" s="288">
        <v>70</v>
      </c>
      <c r="E641" s="288">
        <v>6.5</v>
      </c>
      <c r="F641" s="288">
        <v>1.6E-2</v>
      </c>
    </row>
    <row r="642" spans="1:6">
      <c r="A642" s="288" t="s">
        <v>637</v>
      </c>
      <c r="B642" s="288" t="s">
        <v>642</v>
      </c>
      <c r="C642" s="288">
        <v>50</v>
      </c>
      <c r="D642" s="288">
        <v>80</v>
      </c>
      <c r="E642" s="288">
        <v>8.5</v>
      </c>
      <c r="F642" s="288">
        <v>1.8499999999999999E-2</v>
      </c>
    </row>
    <row r="643" spans="1:6">
      <c r="A643" s="288" t="s">
        <v>637</v>
      </c>
      <c r="B643" s="288" t="s">
        <v>642</v>
      </c>
      <c r="C643" s="288">
        <v>50</v>
      </c>
      <c r="D643" s="288">
        <v>90</v>
      </c>
      <c r="E643" s="288">
        <v>12.5</v>
      </c>
      <c r="F643" s="288">
        <v>1.9E-2</v>
      </c>
    </row>
    <row r="644" spans="1:6">
      <c r="A644" s="288" t="s">
        <v>637</v>
      </c>
      <c r="B644" s="288" t="s">
        <v>642</v>
      </c>
      <c r="C644" s="288">
        <v>50</v>
      </c>
      <c r="D644" s="288">
        <v>100</v>
      </c>
      <c r="E644" s="288">
        <v>15</v>
      </c>
      <c r="F644" s="288">
        <v>2.1379619999999998E-2</v>
      </c>
    </row>
    <row r="645" spans="1:6">
      <c r="A645" s="288" t="s">
        <v>637</v>
      </c>
      <c r="B645" s="288" t="s">
        <v>642</v>
      </c>
      <c r="C645" s="288">
        <v>50</v>
      </c>
      <c r="D645" s="288">
        <v>200</v>
      </c>
      <c r="E645" s="288">
        <v>50</v>
      </c>
      <c r="F645" s="288">
        <v>3.2000000000000001E-2</v>
      </c>
    </row>
    <row r="646" spans="1:6">
      <c r="A646" s="288" t="s">
        <v>637</v>
      </c>
      <c r="B646" s="288" t="s">
        <v>642</v>
      </c>
      <c r="C646" s="288">
        <v>50</v>
      </c>
      <c r="D646" s="288">
        <v>300</v>
      </c>
      <c r="E646" s="288">
        <v>130</v>
      </c>
      <c r="F646" s="288">
        <v>4.7E-2</v>
      </c>
    </row>
    <row r="647" spans="1:6">
      <c r="A647" s="288" t="s">
        <v>637</v>
      </c>
      <c r="B647" s="288" t="s">
        <v>642</v>
      </c>
      <c r="C647" s="288">
        <v>50</v>
      </c>
      <c r="D647" s="288">
        <v>400</v>
      </c>
      <c r="E647" s="288">
        <v>220</v>
      </c>
      <c r="F647" s="288">
        <v>5.8000000000000003E-2</v>
      </c>
    </row>
    <row r="648" spans="1:6">
      <c r="A648" s="288" t="s">
        <v>637</v>
      </c>
      <c r="B648" s="288" t="s">
        <v>642</v>
      </c>
      <c r="C648" s="288">
        <v>50</v>
      </c>
      <c r="D648" s="288">
        <v>500</v>
      </c>
      <c r="E648" s="288">
        <v>340</v>
      </c>
      <c r="F648" s="288">
        <v>6.9000000000000006E-2</v>
      </c>
    </row>
    <row r="649" spans="1:6">
      <c r="A649" s="288" t="s">
        <v>637</v>
      </c>
      <c r="B649" s="288" t="s">
        <v>642</v>
      </c>
      <c r="C649" s="288">
        <v>50</v>
      </c>
      <c r="D649" s="288">
        <v>600</v>
      </c>
      <c r="E649" s="288">
        <v>500</v>
      </c>
      <c r="F649" s="288">
        <v>7.8E-2</v>
      </c>
    </row>
    <row r="650" spans="1:6">
      <c r="A650" s="288" t="s">
        <v>637</v>
      </c>
      <c r="B650" s="288" t="s">
        <v>642</v>
      </c>
      <c r="C650" s="288">
        <v>50</v>
      </c>
      <c r="D650" s="288">
        <v>700</v>
      </c>
      <c r="E650" s="288">
        <v>660</v>
      </c>
      <c r="F650" s="288">
        <v>8.5000000000000006E-2</v>
      </c>
    </row>
    <row r="651" spans="1:6">
      <c r="A651" s="288" t="s">
        <v>637</v>
      </c>
      <c r="B651" s="288" t="s">
        <v>642</v>
      </c>
      <c r="C651" s="288">
        <v>50</v>
      </c>
      <c r="D651" s="288">
        <v>800</v>
      </c>
      <c r="E651" s="288">
        <v>850</v>
      </c>
      <c r="F651" s="288">
        <v>9.1999999999999998E-2</v>
      </c>
    </row>
    <row r="652" spans="1:6">
      <c r="A652" s="288" t="s">
        <v>637</v>
      </c>
      <c r="B652" s="288" t="s">
        <v>642</v>
      </c>
      <c r="C652" s="288">
        <v>50</v>
      </c>
      <c r="D652" s="288">
        <v>900</v>
      </c>
      <c r="E652" s="288">
        <v>1200</v>
      </c>
      <c r="F652" s="288">
        <v>0.1</v>
      </c>
    </row>
    <row r="653" spans="1:6">
      <c r="A653" s="288" t="s">
        <v>637</v>
      </c>
      <c r="B653" s="288" t="s">
        <v>642</v>
      </c>
      <c r="C653" s="288">
        <v>50</v>
      </c>
      <c r="D653" s="288">
        <v>1000</v>
      </c>
      <c r="E653" s="288">
        <v>1410</v>
      </c>
      <c r="F653" s="288">
        <v>0.11</v>
      </c>
    </row>
    <row r="654" spans="1:6">
      <c r="A654" s="288" t="s">
        <v>637</v>
      </c>
      <c r="B654" s="288" t="s">
        <v>642</v>
      </c>
      <c r="C654" s="288">
        <v>50</v>
      </c>
      <c r="D654" s="288">
        <v>1500</v>
      </c>
      <c r="E654" s="288">
        <v>2750</v>
      </c>
      <c r="F654" s="288">
        <v>0.15</v>
      </c>
    </row>
    <row r="655" spans="1:6">
      <c r="A655" s="288" t="s">
        <v>637</v>
      </c>
      <c r="B655" s="288" t="s">
        <v>642</v>
      </c>
      <c r="C655" s="288">
        <v>50</v>
      </c>
      <c r="D655" s="288">
        <v>2000</v>
      </c>
      <c r="E655" s="288">
        <v>4550</v>
      </c>
      <c r="F655" s="288">
        <v>0.17</v>
      </c>
    </row>
    <row r="656" spans="1:6">
      <c r="A656" s="288" t="s">
        <v>637</v>
      </c>
      <c r="B656" s="288" t="s">
        <v>642</v>
      </c>
      <c r="C656" s="288">
        <v>50</v>
      </c>
      <c r="D656" s="288">
        <v>2500</v>
      </c>
      <c r="E656" s="288">
        <v>6600</v>
      </c>
      <c r="F656" s="288">
        <v>0.191</v>
      </c>
    </row>
    <row r="657" spans="1:6">
      <c r="A657" s="288" t="s">
        <v>637</v>
      </c>
      <c r="B657" s="288" t="s">
        <v>642</v>
      </c>
      <c r="C657" s="288">
        <v>50</v>
      </c>
      <c r="D657" s="288">
        <v>3000</v>
      </c>
      <c r="E657" s="288">
        <v>9000</v>
      </c>
      <c r="F657" s="288">
        <v>0.20417379999999999</v>
      </c>
    </row>
    <row r="658" spans="1:6">
      <c r="A658" s="288" t="s">
        <v>637</v>
      </c>
      <c r="B658" s="288" t="s">
        <v>642</v>
      </c>
      <c r="C658" s="288">
        <v>50</v>
      </c>
      <c r="D658" s="288">
        <v>3500</v>
      </c>
      <c r="E658" s="288">
        <v>12800</v>
      </c>
      <c r="F658" s="288">
        <v>0.22</v>
      </c>
    </row>
    <row r="659" spans="1:6">
      <c r="A659" s="288" t="s">
        <v>637</v>
      </c>
      <c r="B659" s="288" t="s">
        <v>642</v>
      </c>
      <c r="C659" s="288">
        <v>50</v>
      </c>
      <c r="D659" s="288">
        <v>4000</v>
      </c>
      <c r="E659" s="288">
        <v>16000</v>
      </c>
      <c r="F659" s="288">
        <v>0.22</v>
      </c>
    </row>
    <row r="660" spans="1:6">
      <c r="A660" s="288" t="s">
        <v>637</v>
      </c>
      <c r="B660" s="288" t="s">
        <v>642</v>
      </c>
      <c r="C660" s="288">
        <v>50</v>
      </c>
      <c r="D660" s="288">
        <v>4500</v>
      </c>
      <c r="E660" s="288">
        <v>20100</v>
      </c>
      <c r="F660" s="288">
        <v>0.23699999999999999</v>
      </c>
    </row>
    <row r="661" spans="1:6">
      <c r="A661" s="288" t="s">
        <v>637</v>
      </c>
      <c r="B661" s="288" t="s">
        <v>642</v>
      </c>
      <c r="C661" s="288">
        <v>50</v>
      </c>
      <c r="D661" s="288">
        <v>5000</v>
      </c>
      <c r="E661" s="288">
        <v>23500</v>
      </c>
      <c r="F661" s="288">
        <v>0.26600000000000001</v>
      </c>
    </row>
    <row r="662" spans="1:6">
      <c r="A662" s="288" t="s">
        <v>637</v>
      </c>
      <c r="B662" s="288" t="s">
        <v>642</v>
      </c>
      <c r="C662" s="288">
        <v>50</v>
      </c>
      <c r="D662" s="288">
        <v>5500</v>
      </c>
      <c r="E662" s="288">
        <v>28300</v>
      </c>
      <c r="F662" s="288">
        <v>0.51200000000000001</v>
      </c>
    </row>
    <row r="663" spans="1:6">
      <c r="A663" s="288" t="s">
        <v>637</v>
      </c>
      <c r="B663" s="288" t="s">
        <v>642</v>
      </c>
      <c r="C663" s="288">
        <v>50</v>
      </c>
      <c r="D663" s="288">
        <v>6000</v>
      </c>
      <c r="E663" s="288">
        <v>33000</v>
      </c>
      <c r="F663" s="288">
        <v>0.75</v>
      </c>
    </row>
    <row r="664" spans="1:6">
      <c r="A664" s="288" t="s">
        <v>637</v>
      </c>
      <c r="B664" s="288" t="s">
        <v>642</v>
      </c>
      <c r="C664" s="288">
        <v>50</v>
      </c>
      <c r="D664" s="288">
        <v>6500</v>
      </c>
      <c r="E664" s="288">
        <v>36600</v>
      </c>
      <c r="F664" s="288">
        <v>3.01</v>
      </c>
    </row>
    <row r="665" spans="1:6">
      <c r="A665" s="288" t="s">
        <v>637</v>
      </c>
      <c r="B665" s="288" t="s">
        <v>642</v>
      </c>
      <c r="C665" s="288">
        <v>50</v>
      </c>
      <c r="D665" s="288">
        <v>7000</v>
      </c>
      <c r="E665" s="288">
        <v>43500</v>
      </c>
      <c r="F665" s="288">
        <v>5.0999999999999996</v>
      </c>
    </row>
    <row r="666" spans="1:6">
      <c r="A666" s="288" t="s">
        <v>637</v>
      </c>
      <c r="B666" s="288" t="s">
        <v>642</v>
      </c>
      <c r="C666" s="288">
        <v>60</v>
      </c>
      <c r="D666" s="288">
        <v>20</v>
      </c>
      <c r="E666" s="288">
        <v>0.74099999999999999</v>
      </c>
      <c r="F666" s="288">
        <v>5.0000000000000001E-3</v>
      </c>
    </row>
    <row r="667" spans="1:6">
      <c r="A667" s="288" t="s">
        <v>637</v>
      </c>
      <c r="B667" s="288" t="s">
        <v>642</v>
      </c>
      <c r="C667" s="288">
        <v>60</v>
      </c>
      <c r="D667" s="288">
        <v>30</v>
      </c>
      <c r="E667" s="288">
        <v>1.95</v>
      </c>
      <c r="F667" s="288">
        <v>7.0000000000000001E-3</v>
      </c>
    </row>
    <row r="668" spans="1:6">
      <c r="A668" s="288" t="s">
        <v>637</v>
      </c>
      <c r="B668" s="288" t="s">
        <v>642</v>
      </c>
      <c r="C668" s="288">
        <v>60</v>
      </c>
      <c r="D668" s="288">
        <v>40</v>
      </c>
      <c r="E668" s="288">
        <v>3.25</v>
      </c>
      <c r="F668" s="288">
        <v>8.9999999999999993E-3</v>
      </c>
    </row>
    <row r="669" spans="1:6">
      <c r="A669" s="288" t="s">
        <v>637</v>
      </c>
      <c r="B669" s="288" t="s">
        <v>642</v>
      </c>
      <c r="C669" s="288">
        <v>60</v>
      </c>
      <c r="D669" s="288">
        <v>50</v>
      </c>
      <c r="E669" s="288">
        <v>5.2</v>
      </c>
      <c r="F669" s="288">
        <v>1.2E-2</v>
      </c>
    </row>
    <row r="670" spans="1:6">
      <c r="A670" s="288" t="s">
        <v>637</v>
      </c>
      <c r="B670" s="288" t="s">
        <v>642</v>
      </c>
      <c r="C670" s="288">
        <v>60</v>
      </c>
      <c r="D670" s="288">
        <v>60</v>
      </c>
      <c r="E670" s="288">
        <v>7.15</v>
      </c>
      <c r="F670" s="288">
        <v>1.4E-2</v>
      </c>
    </row>
    <row r="671" spans="1:6">
      <c r="A671" s="288" t="s">
        <v>637</v>
      </c>
      <c r="B671" s="288" t="s">
        <v>642</v>
      </c>
      <c r="C671" s="288">
        <v>60</v>
      </c>
      <c r="D671" s="288">
        <v>70</v>
      </c>
      <c r="E671" s="288">
        <v>8.4499999999999993</v>
      </c>
      <c r="F671" s="288">
        <v>1.6E-2</v>
      </c>
    </row>
    <row r="672" spans="1:6">
      <c r="A672" s="288" t="s">
        <v>637</v>
      </c>
      <c r="B672" s="288" t="s">
        <v>642</v>
      </c>
      <c r="C672" s="288">
        <v>60</v>
      </c>
      <c r="D672" s="288">
        <v>80</v>
      </c>
      <c r="E672" s="288">
        <v>11.05</v>
      </c>
      <c r="F672" s="288">
        <v>1.8499999999999999E-2</v>
      </c>
    </row>
    <row r="673" spans="1:6">
      <c r="A673" s="288" t="s">
        <v>637</v>
      </c>
      <c r="B673" s="288" t="s">
        <v>642</v>
      </c>
      <c r="C673" s="288">
        <v>60</v>
      </c>
      <c r="D673" s="288">
        <v>90</v>
      </c>
      <c r="E673" s="288">
        <v>16.25</v>
      </c>
      <c r="F673" s="288">
        <v>1.9E-2</v>
      </c>
    </row>
    <row r="674" spans="1:6">
      <c r="A674" s="288" t="s">
        <v>637</v>
      </c>
      <c r="B674" s="288" t="s">
        <v>642</v>
      </c>
      <c r="C674" s="288">
        <v>60</v>
      </c>
      <c r="D674" s="288">
        <v>100</v>
      </c>
      <c r="E674" s="288">
        <v>19.5</v>
      </c>
      <c r="F674" s="288">
        <v>2.1379619999999998E-2</v>
      </c>
    </row>
    <row r="675" spans="1:6">
      <c r="A675" s="288" t="s">
        <v>637</v>
      </c>
      <c r="B675" s="288" t="s">
        <v>642</v>
      </c>
      <c r="C675" s="288">
        <v>60</v>
      </c>
      <c r="D675" s="288">
        <v>200</v>
      </c>
      <c r="E675" s="288">
        <v>65</v>
      </c>
      <c r="F675" s="288">
        <v>3.2000000000000001E-2</v>
      </c>
    </row>
    <row r="676" spans="1:6">
      <c r="A676" s="288" t="s">
        <v>637</v>
      </c>
      <c r="B676" s="288" t="s">
        <v>642</v>
      </c>
      <c r="C676" s="288">
        <v>60</v>
      </c>
      <c r="D676" s="288">
        <v>300</v>
      </c>
      <c r="E676" s="288">
        <v>169</v>
      </c>
      <c r="F676" s="288">
        <v>4.7E-2</v>
      </c>
    </row>
    <row r="677" spans="1:6">
      <c r="A677" s="288" t="s">
        <v>637</v>
      </c>
      <c r="B677" s="288" t="s">
        <v>642</v>
      </c>
      <c r="C677" s="288">
        <v>60</v>
      </c>
      <c r="D677" s="288">
        <v>400</v>
      </c>
      <c r="E677" s="288">
        <v>286</v>
      </c>
      <c r="F677" s="288">
        <v>5.8000000000000003E-2</v>
      </c>
    </row>
    <row r="678" spans="1:6">
      <c r="A678" s="288" t="s">
        <v>637</v>
      </c>
      <c r="B678" s="288" t="s">
        <v>642</v>
      </c>
      <c r="C678" s="288">
        <v>60</v>
      </c>
      <c r="D678" s="288">
        <v>500</v>
      </c>
      <c r="E678" s="288">
        <v>442</v>
      </c>
      <c r="F678" s="288">
        <v>6.9000000000000006E-2</v>
      </c>
    </row>
    <row r="679" spans="1:6">
      <c r="A679" s="288" t="s">
        <v>637</v>
      </c>
      <c r="B679" s="288" t="s">
        <v>642</v>
      </c>
      <c r="C679" s="288">
        <v>60</v>
      </c>
      <c r="D679" s="288">
        <v>600</v>
      </c>
      <c r="E679" s="288">
        <v>650</v>
      </c>
      <c r="F679" s="288">
        <v>7.8E-2</v>
      </c>
    </row>
    <row r="680" spans="1:6">
      <c r="A680" s="288" t="s">
        <v>637</v>
      </c>
      <c r="B680" s="288" t="s">
        <v>642</v>
      </c>
      <c r="C680" s="288">
        <v>60</v>
      </c>
      <c r="D680" s="288">
        <v>700</v>
      </c>
      <c r="E680" s="288">
        <v>858</v>
      </c>
      <c r="F680" s="288">
        <v>8.5000000000000006E-2</v>
      </c>
    </row>
    <row r="681" spans="1:6">
      <c r="A681" s="288" t="s">
        <v>637</v>
      </c>
      <c r="B681" s="288" t="s">
        <v>642</v>
      </c>
      <c r="C681" s="288">
        <v>60</v>
      </c>
      <c r="D681" s="288">
        <v>800</v>
      </c>
      <c r="E681" s="288">
        <v>1105</v>
      </c>
      <c r="F681" s="288">
        <v>9.1999999999999998E-2</v>
      </c>
    </row>
    <row r="682" spans="1:6">
      <c r="A682" s="288" t="s">
        <v>637</v>
      </c>
      <c r="B682" s="288" t="s">
        <v>642</v>
      </c>
      <c r="C682" s="288">
        <v>60</v>
      </c>
      <c r="D682" s="288">
        <v>900</v>
      </c>
      <c r="E682" s="288">
        <v>1560</v>
      </c>
      <c r="F682" s="288">
        <v>0.1</v>
      </c>
    </row>
    <row r="683" spans="1:6">
      <c r="A683" s="288" t="s">
        <v>637</v>
      </c>
      <c r="B683" s="288" t="s">
        <v>642</v>
      </c>
      <c r="C683" s="288">
        <v>60</v>
      </c>
      <c r="D683" s="288">
        <v>1000</v>
      </c>
      <c r="E683" s="288">
        <v>1833</v>
      </c>
      <c r="F683" s="288">
        <v>0.11</v>
      </c>
    </row>
    <row r="684" spans="1:6">
      <c r="A684" s="288" t="s">
        <v>637</v>
      </c>
      <c r="B684" s="288" t="s">
        <v>642</v>
      </c>
      <c r="C684" s="288">
        <v>60</v>
      </c>
      <c r="D684" s="288">
        <v>1500</v>
      </c>
      <c r="E684" s="288">
        <v>3575</v>
      </c>
      <c r="F684" s="288">
        <v>0.15</v>
      </c>
    </row>
    <row r="685" spans="1:6">
      <c r="A685" s="288" t="s">
        <v>637</v>
      </c>
      <c r="B685" s="288" t="s">
        <v>642</v>
      </c>
      <c r="C685" s="288">
        <v>60</v>
      </c>
      <c r="D685" s="288">
        <v>2000</v>
      </c>
      <c r="E685" s="288">
        <v>5915</v>
      </c>
      <c r="F685" s="288">
        <v>0.17</v>
      </c>
    </row>
    <row r="686" spans="1:6">
      <c r="A686" s="288" t="s">
        <v>637</v>
      </c>
      <c r="B686" s="288" t="s">
        <v>642</v>
      </c>
      <c r="C686" s="288">
        <v>60</v>
      </c>
      <c r="D686" s="288">
        <v>2500</v>
      </c>
      <c r="E686" s="288">
        <v>8900</v>
      </c>
      <c r="F686" s="288">
        <v>0.182</v>
      </c>
    </row>
    <row r="687" spans="1:6">
      <c r="A687" s="288" t="s">
        <v>637</v>
      </c>
      <c r="B687" s="288" t="s">
        <v>642</v>
      </c>
      <c r="C687" s="288">
        <v>60</v>
      </c>
      <c r="D687" s="288">
        <v>3000</v>
      </c>
      <c r="E687" s="288">
        <v>11700</v>
      </c>
      <c r="F687" s="288">
        <v>0.20417379999999999</v>
      </c>
    </row>
    <row r="688" spans="1:6">
      <c r="A688" s="288" t="s">
        <v>637</v>
      </c>
      <c r="B688" s="288" t="s">
        <v>642</v>
      </c>
      <c r="C688" s="288">
        <v>60</v>
      </c>
      <c r="D688" s="288">
        <v>3500</v>
      </c>
      <c r="E688" s="288">
        <v>17100</v>
      </c>
      <c r="F688" s="288">
        <v>0.221</v>
      </c>
    </row>
    <row r="689" spans="1:6">
      <c r="A689" s="288" t="s">
        <v>637</v>
      </c>
      <c r="B689" s="288" t="s">
        <v>642</v>
      </c>
      <c r="C689" s="288">
        <v>60</v>
      </c>
      <c r="D689" s="288">
        <v>4000</v>
      </c>
      <c r="E689" s="288">
        <v>20800</v>
      </c>
      <c r="F689" s="288">
        <v>0.22</v>
      </c>
    </row>
    <row r="690" spans="1:6">
      <c r="A690" s="288" t="s">
        <v>637</v>
      </c>
      <c r="B690" s="288" t="s">
        <v>642</v>
      </c>
      <c r="C690" s="288">
        <v>60</v>
      </c>
      <c r="D690" s="288">
        <v>4500</v>
      </c>
      <c r="E690" s="288">
        <v>24900</v>
      </c>
      <c r="F690" s="288">
        <v>0.24299999999999999</v>
      </c>
    </row>
    <row r="691" spans="1:6">
      <c r="A691" s="288" t="s">
        <v>637</v>
      </c>
      <c r="B691" s="288" t="s">
        <v>642</v>
      </c>
      <c r="C691" s="288">
        <v>60</v>
      </c>
      <c r="D691" s="288">
        <v>5000</v>
      </c>
      <c r="E691" s="288">
        <v>30550</v>
      </c>
      <c r="F691" s="288">
        <v>0.26600000000000001</v>
      </c>
    </row>
    <row r="692" spans="1:6">
      <c r="A692" s="288" t="s">
        <v>637</v>
      </c>
      <c r="B692" s="288" t="s">
        <v>642</v>
      </c>
      <c r="C692" s="288">
        <v>60</v>
      </c>
      <c r="D692" s="288">
        <v>5500</v>
      </c>
      <c r="E692" s="288">
        <v>37300</v>
      </c>
      <c r="F692" s="288">
        <v>0.50800000000000001</v>
      </c>
    </row>
    <row r="693" spans="1:6">
      <c r="A693" s="288" t="s">
        <v>637</v>
      </c>
      <c r="B693" s="288" t="s">
        <v>642</v>
      </c>
      <c r="C693" s="288">
        <v>60</v>
      </c>
      <c r="D693" s="288">
        <v>6000</v>
      </c>
      <c r="E693" s="288">
        <v>42900</v>
      </c>
      <c r="F693" s="288">
        <v>0.75</v>
      </c>
    </row>
    <row r="694" spans="1:6">
      <c r="A694" s="288" t="s">
        <v>637</v>
      </c>
      <c r="B694" s="288" t="s">
        <v>642</v>
      </c>
      <c r="C694" s="288">
        <v>60</v>
      </c>
      <c r="D694" s="288">
        <v>6500</v>
      </c>
      <c r="E694" s="288">
        <v>48900</v>
      </c>
      <c r="F694" s="288">
        <v>2.9249999999999998</v>
      </c>
    </row>
    <row r="695" spans="1:6">
      <c r="A695" s="288" t="s">
        <v>637</v>
      </c>
      <c r="B695" s="288" t="s">
        <v>642</v>
      </c>
      <c r="C695" s="288">
        <v>60</v>
      </c>
      <c r="D695" s="288">
        <v>7000</v>
      </c>
      <c r="E695" s="288">
        <v>56550</v>
      </c>
      <c r="F695" s="288">
        <v>5.0999999999999996</v>
      </c>
    </row>
    <row r="696" spans="1:6">
      <c r="A696" s="288" t="s">
        <v>635</v>
      </c>
      <c r="B696" s="288" t="s">
        <v>642</v>
      </c>
      <c r="C696" s="288">
        <v>50</v>
      </c>
      <c r="D696" s="288">
        <v>20</v>
      </c>
      <c r="E696" s="288">
        <v>0.74099999999999999</v>
      </c>
      <c r="F696" s="288">
        <v>5.0000000000000001E-3</v>
      </c>
    </row>
    <row r="697" spans="1:6">
      <c r="A697" s="288" t="s">
        <v>635</v>
      </c>
      <c r="B697" s="288" t="s">
        <v>642</v>
      </c>
      <c r="C697" s="288">
        <v>50</v>
      </c>
      <c r="D697" s="288">
        <v>30</v>
      </c>
      <c r="E697" s="288">
        <v>1.95</v>
      </c>
      <c r="F697" s="288">
        <v>7.0000000000000001E-3</v>
      </c>
    </row>
    <row r="698" spans="1:6">
      <c r="A698" s="288" t="s">
        <v>635</v>
      </c>
      <c r="B698" s="288" t="s">
        <v>642</v>
      </c>
      <c r="C698" s="288">
        <v>50</v>
      </c>
      <c r="D698" s="288">
        <v>40</v>
      </c>
      <c r="E698" s="288">
        <v>3.25</v>
      </c>
      <c r="F698" s="288">
        <v>8.9999999999999993E-3</v>
      </c>
    </row>
    <row r="699" spans="1:6">
      <c r="A699" s="288" t="s">
        <v>635</v>
      </c>
      <c r="B699" s="288" t="s">
        <v>642</v>
      </c>
      <c r="C699" s="288">
        <v>50</v>
      </c>
      <c r="D699" s="288">
        <v>50</v>
      </c>
      <c r="E699" s="288">
        <v>5.2</v>
      </c>
      <c r="F699" s="288">
        <v>1.2E-2</v>
      </c>
    </row>
    <row r="700" spans="1:6">
      <c r="A700" s="288" t="s">
        <v>635</v>
      </c>
      <c r="B700" s="288" t="s">
        <v>642</v>
      </c>
      <c r="C700" s="288">
        <v>50</v>
      </c>
      <c r="D700" s="288">
        <v>60</v>
      </c>
      <c r="E700" s="288">
        <v>7.15</v>
      </c>
      <c r="F700" s="288">
        <v>1.4E-2</v>
      </c>
    </row>
    <row r="701" spans="1:6">
      <c r="A701" s="288" t="s">
        <v>635</v>
      </c>
      <c r="B701" s="288" t="s">
        <v>642</v>
      </c>
      <c r="C701" s="288">
        <v>50</v>
      </c>
      <c r="D701" s="288">
        <v>70</v>
      </c>
      <c r="E701" s="288">
        <v>8.4499999999999993</v>
      </c>
      <c r="F701" s="288">
        <v>1.6E-2</v>
      </c>
    </row>
    <row r="702" spans="1:6">
      <c r="A702" s="288" t="s">
        <v>635</v>
      </c>
      <c r="B702" s="288" t="s">
        <v>642</v>
      </c>
      <c r="C702" s="288">
        <v>50</v>
      </c>
      <c r="D702" s="288">
        <v>80</v>
      </c>
      <c r="E702" s="288">
        <v>11.05</v>
      </c>
      <c r="F702" s="288">
        <v>1.8499999999999999E-2</v>
      </c>
    </row>
    <row r="703" spans="1:6">
      <c r="A703" s="288" t="s">
        <v>635</v>
      </c>
      <c r="B703" s="288" t="s">
        <v>642</v>
      </c>
      <c r="C703" s="288">
        <v>50</v>
      </c>
      <c r="D703" s="288">
        <v>90</v>
      </c>
      <c r="E703" s="288">
        <v>16.25</v>
      </c>
      <c r="F703" s="288">
        <v>1.9E-2</v>
      </c>
    </row>
    <row r="704" spans="1:6">
      <c r="A704" s="288" t="s">
        <v>635</v>
      </c>
      <c r="B704" s="288" t="s">
        <v>642</v>
      </c>
      <c r="C704" s="288">
        <v>50</v>
      </c>
      <c r="D704" s="288">
        <v>100</v>
      </c>
      <c r="E704" s="288">
        <v>19.5</v>
      </c>
      <c r="F704" s="288">
        <v>2.1379619999999998E-2</v>
      </c>
    </row>
    <row r="705" spans="1:6">
      <c r="A705" s="288" t="s">
        <v>635</v>
      </c>
      <c r="B705" s="288" t="s">
        <v>642</v>
      </c>
      <c r="C705" s="288">
        <v>50</v>
      </c>
      <c r="D705" s="288">
        <v>200</v>
      </c>
      <c r="E705" s="288">
        <v>65</v>
      </c>
      <c r="F705" s="288">
        <v>3.2000000000000001E-2</v>
      </c>
    </row>
    <row r="706" spans="1:6">
      <c r="A706" s="288" t="s">
        <v>635</v>
      </c>
      <c r="B706" s="288" t="s">
        <v>642</v>
      </c>
      <c r="C706" s="288">
        <v>50</v>
      </c>
      <c r="D706" s="288">
        <v>300</v>
      </c>
      <c r="E706" s="288">
        <v>169</v>
      </c>
      <c r="F706" s="288">
        <v>4.7E-2</v>
      </c>
    </row>
    <row r="707" spans="1:6">
      <c r="A707" s="288" t="s">
        <v>635</v>
      </c>
      <c r="B707" s="288" t="s">
        <v>642</v>
      </c>
      <c r="C707" s="288">
        <v>50</v>
      </c>
      <c r="D707" s="288">
        <v>400</v>
      </c>
      <c r="E707" s="288">
        <v>286</v>
      </c>
      <c r="F707" s="288">
        <v>5.8000000000000003E-2</v>
      </c>
    </row>
    <row r="708" spans="1:6">
      <c r="A708" s="288" t="s">
        <v>635</v>
      </c>
      <c r="B708" s="288" t="s">
        <v>642</v>
      </c>
      <c r="C708" s="288">
        <v>50</v>
      </c>
      <c r="D708" s="288">
        <v>500</v>
      </c>
      <c r="E708" s="288">
        <v>442</v>
      </c>
      <c r="F708" s="288">
        <v>6.9000000000000006E-2</v>
      </c>
    </row>
    <row r="709" spans="1:6">
      <c r="A709" s="288" t="s">
        <v>635</v>
      </c>
      <c r="B709" s="288" t="s">
        <v>642</v>
      </c>
      <c r="C709" s="288">
        <v>50</v>
      </c>
      <c r="D709" s="288">
        <v>600</v>
      </c>
      <c r="E709" s="288">
        <v>650</v>
      </c>
      <c r="F709" s="288">
        <v>7.8E-2</v>
      </c>
    </row>
    <row r="710" spans="1:6">
      <c r="A710" s="288" t="s">
        <v>635</v>
      </c>
      <c r="B710" s="288" t="s">
        <v>642</v>
      </c>
      <c r="C710" s="288">
        <v>50</v>
      </c>
      <c r="D710" s="288">
        <v>700</v>
      </c>
      <c r="E710" s="288">
        <v>858</v>
      </c>
      <c r="F710" s="288">
        <v>8.5000000000000006E-2</v>
      </c>
    </row>
    <row r="711" spans="1:6">
      <c r="A711" s="288" t="s">
        <v>635</v>
      </c>
      <c r="B711" s="288" t="s">
        <v>642</v>
      </c>
      <c r="C711" s="288">
        <v>50</v>
      </c>
      <c r="D711" s="288">
        <v>800</v>
      </c>
      <c r="E711" s="288">
        <v>1105</v>
      </c>
      <c r="F711" s="288">
        <v>9.1999999999999998E-2</v>
      </c>
    </row>
    <row r="712" spans="1:6">
      <c r="A712" s="288" t="s">
        <v>635</v>
      </c>
      <c r="B712" s="288" t="s">
        <v>642</v>
      </c>
      <c r="C712" s="288">
        <v>50</v>
      </c>
      <c r="D712" s="288">
        <v>900</v>
      </c>
      <c r="E712" s="288">
        <v>1560</v>
      </c>
      <c r="F712" s="288">
        <v>0.1</v>
      </c>
    </row>
    <row r="713" spans="1:6">
      <c r="A713" s="288" t="s">
        <v>635</v>
      </c>
      <c r="B713" s="288" t="s">
        <v>642</v>
      </c>
      <c r="C713" s="288">
        <v>50</v>
      </c>
      <c r="D713" s="288">
        <v>1000</v>
      </c>
      <c r="E713" s="288">
        <v>1833</v>
      </c>
      <c r="F713" s="288">
        <v>0.11</v>
      </c>
    </row>
    <row r="714" spans="1:6">
      <c r="A714" s="288" t="s">
        <v>635</v>
      </c>
      <c r="B714" s="288" t="s">
        <v>642</v>
      </c>
      <c r="C714" s="288">
        <v>50</v>
      </c>
      <c r="D714" s="288">
        <v>1500</v>
      </c>
      <c r="E714" s="288">
        <v>3575</v>
      </c>
      <c r="F714" s="288">
        <v>0.15</v>
      </c>
    </row>
    <row r="715" spans="1:6">
      <c r="A715" s="288" t="s">
        <v>635</v>
      </c>
      <c r="B715" s="288" t="s">
        <v>642</v>
      </c>
      <c r="C715" s="288">
        <v>50</v>
      </c>
      <c r="D715" s="288">
        <v>2000</v>
      </c>
      <c r="E715" s="288">
        <v>5915</v>
      </c>
      <c r="F715" s="288">
        <v>0.17</v>
      </c>
    </row>
    <row r="716" spans="1:6">
      <c r="A716" s="288" t="s">
        <v>635</v>
      </c>
      <c r="B716" s="288" t="s">
        <v>642</v>
      </c>
      <c r="C716" s="288">
        <v>50</v>
      </c>
      <c r="D716" s="288">
        <v>2500</v>
      </c>
      <c r="E716" s="288">
        <v>8900</v>
      </c>
      <c r="F716" s="288">
        <v>0.182</v>
      </c>
    </row>
    <row r="717" spans="1:6">
      <c r="A717" s="288" t="s">
        <v>635</v>
      </c>
      <c r="B717" s="288" t="s">
        <v>642</v>
      </c>
      <c r="C717" s="288">
        <v>50</v>
      </c>
      <c r="D717" s="288">
        <v>3000</v>
      </c>
      <c r="E717" s="288">
        <v>11700</v>
      </c>
      <c r="F717" s="288">
        <v>0.20417379999999999</v>
      </c>
    </row>
    <row r="718" spans="1:6">
      <c r="A718" s="288" t="s">
        <v>635</v>
      </c>
      <c r="B718" s="288" t="s">
        <v>642</v>
      </c>
      <c r="C718" s="288">
        <v>50</v>
      </c>
      <c r="D718" s="288">
        <v>3500</v>
      </c>
      <c r="E718" s="288">
        <v>17100</v>
      </c>
      <c r="F718" s="288">
        <v>0.221</v>
      </c>
    </row>
    <row r="719" spans="1:6">
      <c r="A719" s="288" t="s">
        <v>635</v>
      </c>
      <c r="B719" s="288" t="s">
        <v>642</v>
      </c>
      <c r="C719" s="288">
        <v>50</v>
      </c>
      <c r="D719" s="288">
        <v>4000</v>
      </c>
      <c r="E719" s="288">
        <v>20800</v>
      </c>
      <c r="F719" s="288">
        <v>0.22</v>
      </c>
    </row>
    <row r="720" spans="1:6">
      <c r="A720" s="288" t="s">
        <v>635</v>
      </c>
      <c r="B720" s="288" t="s">
        <v>642</v>
      </c>
      <c r="C720" s="288">
        <v>50</v>
      </c>
      <c r="D720" s="288">
        <v>4500</v>
      </c>
      <c r="E720" s="288">
        <v>24900</v>
      </c>
      <c r="F720" s="288">
        <v>0.24299999999999999</v>
      </c>
    </row>
    <row r="721" spans="1:6">
      <c r="A721" s="288" t="s">
        <v>635</v>
      </c>
      <c r="B721" s="288" t="s">
        <v>642</v>
      </c>
      <c r="C721" s="288">
        <v>50</v>
      </c>
      <c r="D721" s="288">
        <v>5000</v>
      </c>
      <c r="E721" s="288">
        <v>30550</v>
      </c>
      <c r="F721" s="288">
        <v>0.26600000000000001</v>
      </c>
    </row>
    <row r="722" spans="1:6">
      <c r="A722" s="288" t="s">
        <v>635</v>
      </c>
      <c r="B722" s="288" t="s">
        <v>642</v>
      </c>
      <c r="C722" s="288">
        <v>50</v>
      </c>
      <c r="D722" s="288">
        <v>5500</v>
      </c>
      <c r="E722" s="288">
        <v>37300</v>
      </c>
      <c r="F722" s="288">
        <v>0.50800000000000001</v>
      </c>
    </row>
    <row r="723" spans="1:6">
      <c r="A723" s="288" t="s">
        <v>635</v>
      </c>
      <c r="B723" s="288" t="s">
        <v>642</v>
      </c>
      <c r="C723" s="288">
        <v>50</v>
      </c>
      <c r="D723" s="288">
        <v>6000</v>
      </c>
      <c r="E723" s="288">
        <v>42900</v>
      </c>
      <c r="F723" s="288">
        <v>0.75</v>
      </c>
    </row>
    <row r="724" spans="1:6">
      <c r="A724" s="288" t="s">
        <v>635</v>
      </c>
      <c r="B724" s="288" t="s">
        <v>642</v>
      </c>
      <c r="C724" s="288">
        <v>50</v>
      </c>
      <c r="D724" s="288">
        <v>6500</v>
      </c>
      <c r="E724" s="288">
        <v>48900</v>
      </c>
      <c r="F724" s="288">
        <v>2.9249999999999998</v>
      </c>
    </row>
    <row r="725" spans="1:6">
      <c r="A725" s="288" t="s">
        <v>635</v>
      </c>
      <c r="B725" s="288" t="s">
        <v>642</v>
      </c>
      <c r="C725" s="288">
        <v>50</v>
      </c>
      <c r="D725" s="288">
        <v>7000</v>
      </c>
      <c r="E725" s="288">
        <v>56550</v>
      </c>
      <c r="F725" s="288">
        <v>5.0999999999999996</v>
      </c>
    </row>
    <row r="726" spans="1:6">
      <c r="A726" s="286"/>
      <c r="B726" s="286"/>
      <c r="C726" s="286"/>
      <c r="D726" s="286"/>
      <c r="E726" s="286"/>
      <c r="F726" s="286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D4836-020B-4A32-A498-8A9E5960E4A8}">
  <sheetPr>
    <pageSetUpPr fitToPage="1"/>
  </sheetPr>
  <dimension ref="A1:Y1048576"/>
  <sheetViews>
    <sheetView showGridLines="0" topLeftCell="A56" workbookViewId="0">
      <selection activeCell="M150" sqref="M150"/>
    </sheetView>
  </sheetViews>
  <sheetFormatPr defaultRowHeight="16.5"/>
  <cols>
    <col min="3" max="3" width="9.140625" customWidth="1"/>
    <col min="7" max="7" width="7" customWidth="1"/>
  </cols>
  <sheetData>
    <row r="1" spans="1:20" ht="23.25">
      <c r="A1" s="227" t="s">
        <v>436</v>
      </c>
      <c r="I1" s="195" t="s">
        <v>487</v>
      </c>
      <c r="L1" s="239" t="s">
        <v>485</v>
      </c>
      <c r="M1" s="238">
        <f>C10</f>
        <v>15</v>
      </c>
      <c r="N1" s="238" t="s">
        <v>39</v>
      </c>
      <c r="O1" s="240">
        <f>C20</f>
        <v>0.5</v>
      </c>
    </row>
    <row r="2" spans="1:20" ht="18.75">
      <c r="L2" s="239" t="s">
        <v>486</v>
      </c>
      <c r="M2" s="238">
        <f>C10</f>
        <v>15</v>
      </c>
      <c r="N2" s="238" t="s">
        <v>39</v>
      </c>
      <c r="O2" s="240" t="str">
        <f>C40</f>
        <v>10P20</v>
      </c>
    </row>
    <row r="4" spans="1:20">
      <c r="A4" s="195" t="s">
        <v>476</v>
      </c>
    </row>
    <row r="5" spans="1:20" ht="18">
      <c r="A5" s="195" t="s">
        <v>424</v>
      </c>
      <c r="E5" s="219" t="s">
        <v>417</v>
      </c>
      <c r="F5" s="212" t="s">
        <v>419</v>
      </c>
      <c r="G5" s="212" t="s">
        <v>421</v>
      </c>
      <c r="H5" s="219" t="s">
        <v>418</v>
      </c>
    </row>
    <row r="6" spans="1:20">
      <c r="C6" s="217" t="s">
        <v>39</v>
      </c>
      <c r="D6" s="213" t="s">
        <v>420</v>
      </c>
      <c r="E6" s="213" t="s">
        <v>44</v>
      </c>
      <c r="F6" s="213" t="s">
        <v>46</v>
      </c>
      <c r="G6" s="213" t="s">
        <v>47</v>
      </c>
      <c r="H6" s="213" t="s">
        <v>45</v>
      </c>
      <c r="I6" s="213" t="s">
        <v>48</v>
      </c>
      <c r="J6" s="213" t="s">
        <v>49</v>
      </c>
    </row>
    <row r="7" spans="1:20">
      <c r="C7" s="217">
        <v>2.5</v>
      </c>
      <c r="D7" s="213">
        <f>IF(C7&gt;1,0.8,1)</f>
        <v>0.8</v>
      </c>
      <c r="E7" s="213">
        <f>C7/5^2</f>
        <v>0.1</v>
      </c>
      <c r="F7" s="213">
        <f>E7*$D7</f>
        <v>8.0000000000000016E-2</v>
      </c>
      <c r="G7" s="213">
        <f>ROUND((E7^2-F7^2)^0.5,3)</f>
        <v>0.06</v>
      </c>
      <c r="H7" s="213">
        <f>C7/1^2</f>
        <v>2.5</v>
      </c>
      <c r="I7" s="213">
        <f>H7*$D7</f>
        <v>2</v>
      </c>
      <c r="J7" s="213">
        <f>ROUND((H7^2-I7^2)^0.5,3)</f>
        <v>1.5</v>
      </c>
    </row>
    <row r="8" spans="1:20">
      <c r="C8" s="217">
        <v>5</v>
      </c>
      <c r="D8" s="213">
        <f t="shared" ref="D8:D11" si="0">IF(C8&gt;1,0.8,1)</f>
        <v>0.8</v>
      </c>
      <c r="E8" s="213">
        <f>C8/5^2</f>
        <v>0.2</v>
      </c>
      <c r="F8" s="213">
        <f t="shared" ref="F8:F11" si="1">E8*$D8</f>
        <v>0.16000000000000003</v>
      </c>
      <c r="G8" s="213">
        <f t="shared" ref="G8:G11" si="2">ROUND((E8^2-F8^2)^0.5,3)</f>
        <v>0.12</v>
      </c>
      <c r="H8" s="213">
        <f>C8/1^2</f>
        <v>5</v>
      </c>
      <c r="I8" s="213">
        <f t="shared" ref="I8:I11" si="3">H8*$D8</f>
        <v>4</v>
      </c>
      <c r="J8" s="213">
        <f t="shared" ref="J8:J11" si="4">ROUND((H8^2-I8^2)^0.5,3)</f>
        <v>3</v>
      </c>
    </row>
    <row r="9" spans="1:20">
      <c r="C9" s="217">
        <v>10</v>
      </c>
      <c r="D9" s="213">
        <f t="shared" si="0"/>
        <v>0.8</v>
      </c>
      <c r="E9" s="213">
        <f>C9/5^2</f>
        <v>0.4</v>
      </c>
      <c r="F9" s="213">
        <f t="shared" si="1"/>
        <v>0.32000000000000006</v>
      </c>
      <c r="G9" s="213">
        <f t="shared" si="2"/>
        <v>0.24</v>
      </c>
      <c r="H9" s="213">
        <f>C9/1^2</f>
        <v>10</v>
      </c>
      <c r="I9" s="213">
        <f t="shared" si="3"/>
        <v>8</v>
      </c>
      <c r="J9" s="213">
        <f t="shared" si="4"/>
        <v>6</v>
      </c>
    </row>
    <row r="10" spans="1:20">
      <c r="C10" s="217">
        <v>15</v>
      </c>
      <c r="D10" s="213">
        <f t="shared" si="0"/>
        <v>0.8</v>
      </c>
      <c r="E10" s="213">
        <f>C10/5^2</f>
        <v>0.6</v>
      </c>
      <c r="F10" s="213">
        <f t="shared" si="1"/>
        <v>0.48</v>
      </c>
      <c r="G10" s="213">
        <f t="shared" si="2"/>
        <v>0.36</v>
      </c>
      <c r="H10" s="213">
        <f>C10/1^2</f>
        <v>15</v>
      </c>
      <c r="I10" s="213">
        <f t="shared" si="3"/>
        <v>12</v>
      </c>
      <c r="J10" s="213">
        <f t="shared" si="4"/>
        <v>9</v>
      </c>
    </row>
    <row r="11" spans="1:20">
      <c r="C11" s="217">
        <v>30</v>
      </c>
      <c r="D11" s="213">
        <f t="shared" si="0"/>
        <v>0.8</v>
      </c>
      <c r="E11" s="213">
        <f>C11/5^2</f>
        <v>1.2</v>
      </c>
      <c r="F11" s="213">
        <f t="shared" si="1"/>
        <v>0.96</v>
      </c>
      <c r="G11" s="213">
        <f t="shared" si="2"/>
        <v>0.72</v>
      </c>
      <c r="H11" s="213">
        <f>C11/1^2</f>
        <v>30</v>
      </c>
      <c r="I11" s="213">
        <f t="shared" si="3"/>
        <v>24</v>
      </c>
      <c r="J11" s="213">
        <f t="shared" si="4"/>
        <v>18</v>
      </c>
    </row>
    <row r="12" spans="1:20">
      <c r="D12" t="s">
        <v>429</v>
      </c>
    </row>
    <row r="13" spans="1:20">
      <c r="A13" s="195" t="s">
        <v>423</v>
      </c>
    </row>
    <row r="14" spans="1:20">
      <c r="A14" s="195" t="s">
        <v>446</v>
      </c>
    </row>
    <row r="15" spans="1:20">
      <c r="D15" s="274">
        <v>1</v>
      </c>
      <c r="E15" s="273" t="s">
        <v>597</v>
      </c>
      <c r="F15" s="274">
        <v>5</v>
      </c>
      <c r="G15" s="273" t="s">
        <v>597</v>
      </c>
      <c r="H15" s="274">
        <v>20</v>
      </c>
      <c r="I15" s="273" t="s">
        <v>597</v>
      </c>
      <c r="J15" s="274">
        <v>50</v>
      </c>
      <c r="K15" s="273" t="s">
        <v>597</v>
      </c>
      <c r="L15" s="274">
        <v>100</v>
      </c>
      <c r="M15" s="273" t="s">
        <v>597</v>
      </c>
      <c r="N15" s="274">
        <v>120</v>
      </c>
      <c r="O15" s="273" t="s">
        <v>597</v>
      </c>
      <c r="P15" s="215" t="s">
        <v>478</v>
      </c>
      <c r="Q15" s="233"/>
      <c r="R15" s="214" t="s">
        <v>480</v>
      </c>
      <c r="S15" s="215"/>
      <c r="T15" s="214"/>
    </row>
    <row r="16" spans="1:20">
      <c r="C16" s="217" t="s">
        <v>144</v>
      </c>
      <c r="D16" s="213" t="s">
        <v>241</v>
      </c>
      <c r="E16" s="224" t="s">
        <v>477</v>
      </c>
      <c r="F16" s="213" t="s">
        <v>241</v>
      </c>
      <c r="G16" s="224" t="s">
        <v>477</v>
      </c>
      <c r="H16" s="213" t="s">
        <v>241</v>
      </c>
      <c r="I16" s="224" t="s">
        <v>477</v>
      </c>
      <c r="J16" s="213" t="s">
        <v>241</v>
      </c>
      <c r="K16" s="224" t="s">
        <v>477</v>
      </c>
      <c r="L16" s="213" t="s">
        <v>241</v>
      </c>
      <c r="M16" s="224" t="s">
        <v>477</v>
      </c>
      <c r="N16" s="213" t="s">
        <v>241</v>
      </c>
      <c r="O16" s="224" t="s">
        <v>477</v>
      </c>
      <c r="P16" s="213" t="s">
        <v>241</v>
      </c>
      <c r="Q16" s="224" t="s">
        <v>477</v>
      </c>
      <c r="R16" s="215" t="s">
        <v>422</v>
      </c>
      <c r="S16" s="215"/>
      <c r="T16" s="214"/>
    </row>
    <row r="17" spans="1:20">
      <c r="C17" s="217">
        <v>0.1</v>
      </c>
      <c r="D17" s="221" t="s">
        <v>52</v>
      </c>
      <c r="E17" s="225" t="s">
        <v>52</v>
      </c>
      <c r="F17" s="216">
        <v>0.4</v>
      </c>
      <c r="G17" s="224">
        <v>15</v>
      </c>
      <c r="H17" s="216">
        <v>0.2</v>
      </c>
      <c r="I17" s="224">
        <v>8</v>
      </c>
      <c r="J17" s="222" t="s">
        <v>52</v>
      </c>
      <c r="K17" s="225" t="s">
        <v>52</v>
      </c>
      <c r="L17" s="216">
        <v>0.1</v>
      </c>
      <c r="M17" s="224">
        <v>5</v>
      </c>
      <c r="N17" s="216">
        <v>0.1</v>
      </c>
      <c r="O17" s="224">
        <v>5</v>
      </c>
      <c r="P17" s="216">
        <v>0.1</v>
      </c>
      <c r="Q17" s="224">
        <v>5</v>
      </c>
      <c r="R17" s="223">
        <v>0.25</v>
      </c>
      <c r="S17" s="221" t="s">
        <v>425</v>
      </c>
      <c r="T17" s="220">
        <v>1</v>
      </c>
    </row>
    <row r="18" spans="1:20">
      <c r="C18" s="217">
        <v>0.2</v>
      </c>
      <c r="D18" s="221" t="s">
        <v>52</v>
      </c>
      <c r="E18" s="225" t="s">
        <v>52</v>
      </c>
      <c r="F18" s="216">
        <v>0.75</v>
      </c>
      <c r="G18" s="224">
        <v>30</v>
      </c>
      <c r="H18" s="216">
        <v>0.35</v>
      </c>
      <c r="I18" s="224">
        <v>15</v>
      </c>
      <c r="J18" s="222" t="s">
        <v>52</v>
      </c>
      <c r="K18" s="225" t="s">
        <v>52</v>
      </c>
      <c r="L18" s="216">
        <v>0.2</v>
      </c>
      <c r="M18" s="224">
        <v>10</v>
      </c>
      <c r="N18" s="216">
        <v>0.2</v>
      </c>
      <c r="O18" s="224">
        <v>10</v>
      </c>
      <c r="P18" s="216">
        <v>0.2</v>
      </c>
      <c r="Q18" s="224">
        <v>10</v>
      </c>
      <c r="R18" s="223">
        <v>0.25</v>
      </c>
      <c r="S18" s="221" t="s">
        <v>52</v>
      </c>
      <c r="T18" s="220">
        <v>1</v>
      </c>
    </row>
    <row r="19" spans="1:20">
      <c r="C19" s="217" t="s">
        <v>415</v>
      </c>
      <c r="D19" s="216">
        <v>0.75</v>
      </c>
      <c r="E19" s="224">
        <v>30</v>
      </c>
      <c r="F19" s="216">
        <v>0.35</v>
      </c>
      <c r="G19" s="224">
        <v>15</v>
      </c>
      <c r="H19" s="216">
        <v>0.2</v>
      </c>
      <c r="I19" s="224">
        <v>10</v>
      </c>
      <c r="J19" s="222" t="s">
        <v>52</v>
      </c>
      <c r="K19" s="225" t="s">
        <v>52</v>
      </c>
      <c r="L19" s="216">
        <v>0.2</v>
      </c>
      <c r="M19" s="224">
        <v>10</v>
      </c>
      <c r="N19" s="216">
        <v>0.2</v>
      </c>
      <c r="O19" s="224">
        <v>10</v>
      </c>
      <c r="P19" s="216">
        <v>0.2</v>
      </c>
      <c r="Q19" s="224">
        <v>10</v>
      </c>
      <c r="R19" s="223">
        <v>0.25</v>
      </c>
      <c r="S19" s="221" t="s">
        <v>52</v>
      </c>
      <c r="T19" s="220">
        <v>1</v>
      </c>
    </row>
    <row r="20" spans="1:20">
      <c r="C20" s="217">
        <v>0.5</v>
      </c>
      <c r="D20" s="221" t="s">
        <v>52</v>
      </c>
      <c r="E20" s="225" t="s">
        <v>52</v>
      </c>
      <c r="F20" s="216">
        <v>1.5</v>
      </c>
      <c r="G20" s="224">
        <v>90</v>
      </c>
      <c r="H20" s="216">
        <v>0.75</v>
      </c>
      <c r="I20" s="224">
        <v>45</v>
      </c>
      <c r="J20" s="222" t="s">
        <v>52</v>
      </c>
      <c r="K20" s="225" t="s">
        <v>52</v>
      </c>
      <c r="L20" s="216">
        <v>0.5</v>
      </c>
      <c r="M20" s="224">
        <v>30</v>
      </c>
      <c r="N20" s="216">
        <v>0.5</v>
      </c>
      <c r="O20" s="224">
        <v>30</v>
      </c>
      <c r="P20" s="216">
        <v>0.5</v>
      </c>
      <c r="Q20" s="224">
        <v>30</v>
      </c>
      <c r="R20" s="223">
        <v>0.25</v>
      </c>
      <c r="S20" s="221" t="s">
        <v>52</v>
      </c>
      <c r="T20" s="220">
        <v>1</v>
      </c>
    </row>
    <row r="21" spans="1:20">
      <c r="C21" s="217" t="s">
        <v>416</v>
      </c>
      <c r="D21" s="216">
        <v>1.5</v>
      </c>
      <c r="E21" s="224">
        <v>90</v>
      </c>
      <c r="F21" s="216">
        <v>0.75</v>
      </c>
      <c r="G21" s="224">
        <v>45</v>
      </c>
      <c r="H21" s="216">
        <v>0.5</v>
      </c>
      <c r="I21" s="224">
        <v>30</v>
      </c>
      <c r="J21" s="222" t="s">
        <v>52</v>
      </c>
      <c r="K21" s="225" t="s">
        <v>52</v>
      </c>
      <c r="L21" s="216">
        <v>0.5</v>
      </c>
      <c r="M21" s="224">
        <v>30</v>
      </c>
      <c r="N21" s="216">
        <v>0.5</v>
      </c>
      <c r="O21" s="224">
        <v>30</v>
      </c>
      <c r="P21" s="216">
        <v>0.5</v>
      </c>
      <c r="Q21" s="224">
        <v>30</v>
      </c>
      <c r="R21" s="223">
        <v>0.25</v>
      </c>
      <c r="S21" s="221" t="s">
        <v>52</v>
      </c>
      <c r="T21" s="220">
        <v>1</v>
      </c>
    </row>
    <row r="22" spans="1:20">
      <c r="C22" s="217">
        <v>1</v>
      </c>
      <c r="D22" s="221" t="s">
        <v>52</v>
      </c>
      <c r="E22" s="225" t="s">
        <v>52</v>
      </c>
      <c r="F22" s="216">
        <v>3</v>
      </c>
      <c r="G22" s="224">
        <v>180</v>
      </c>
      <c r="H22" s="216">
        <v>1.5</v>
      </c>
      <c r="I22" s="224">
        <v>90</v>
      </c>
      <c r="J22" s="222" t="s">
        <v>52</v>
      </c>
      <c r="K22" s="225" t="s">
        <v>52</v>
      </c>
      <c r="L22" s="216">
        <v>1</v>
      </c>
      <c r="M22" s="224">
        <v>60</v>
      </c>
      <c r="N22" s="216">
        <v>1</v>
      </c>
      <c r="O22" s="224">
        <v>60</v>
      </c>
      <c r="P22" s="216">
        <v>1</v>
      </c>
      <c r="Q22" s="224">
        <v>60</v>
      </c>
      <c r="R22" s="223">
        <v>0.25</v>
      </c>
      <c r="S22" s="221" t="s">
        <v>52</v>
      </c>
      <c r="T22" s="220">
        <v>1</v>
      </c>
    </row>
    <row r="23" spans="1:20">
      <c r="C23" s="217">
        <v>3</v>
      </c>
      <c r="D23" s="221" t="s">
        <v>52</v>
      </c>
      <c r="E23" s="225" t="s">
        <v>52</v>
      </c>
      <c r="F23" s="222" t="s">
        <v>52</v>
      </c>
      <c r="G23" s="225" t="s">
        <v>52</v>
      </c>
      <c r="H23" s="222" t="s">
        <v>52</v>
      </c>
      <c r="I23" s="225" t="s">
        <v>52</v>
      </c>
      <c r="J23" s="216">
        <v>3</v>
      </c>
      <c r="K23" s="225" t="s">
        <v>52</v>
      </c>
      <c r="L23" s="222" t="s">
        <v>52</v>
      </c>
      <c r="M23" s="225" t="s">
        <v>52</v>
      </c>
      <c r="N23" s="216">
        <v>3</v>
      </c>
      <c r="O23" s="225" t="s">
        <v>52</v>
      </c>
      <c r="P23" s="216">
        <v>3</v>
      </c>
      <c r="Q23" s="225" t="s">
        <v>52</v>
      </c>
      <c r="R23" s="223">
        <v>0.5</v>
      </c>
      <c r="S23" s="221" t="s">
        <v>52</v>
      </c>
      <c r="T23" s="220">
        <v>1</v>
      </c>
    </row>
    <row r="24" spans="1:20">
      <c r="C24" s="217">
        <v>5</v>
      </c>
      <c r="D24" s="221" t="s">
        <v>52</v>
      </c>
      <c r="E24" s="225" t="s">
        <v>52</v>
      </c>
      <c r="F24" s="222" t="s">
        <v>52</v>
      </c>
      <c r="G24" s="225" t="s">
        <v>52</v>
      </c>
      <c r="H24" s="222" t="s">
        <v>52</v>
      </c>
      <c r="I24" s="225" t="s">
        <v>52</v>
      </c>
      <c r="J24" s="216">
        <v>5</v>
      </c>
      <c r="K24" s="225" t="s">
        <v>52</v>
      </c>
      <c r="L24" s="222" t="s">
        <v>52</v>
      </c>
      <c r="M24" s="225" t="s">
        <v>52</v>
      </c>
      <c r="N24" s="216">
        <v>5</v>
      </c>
      <c r="O24" s="225" t="s">
        <v>52</v>
      </c>
      <c r="P24" s="216">
        <v>5</v>
      </c>
      <c r="Q24" s="225" t="s">
        <v>52</v>
      </c>
      <c r="R24" s="223">
        <v>0.5</v>
      </c>
      <c r="S24" s="221" t="s">
        <v>52</v>
      </c>
      <c r="T24" s="220">
        <v>1</v>
      </c>
    </row>
    <row r="25" spans="1:20">
      <c r="C25" t="s">
        <v>464</v>
      </c>
    </row>
    <row r="26" spans="1:20">
      <c r="C26" t="s">
        <v>443</v>
      </c>
    </row>
    <row r="28" spans="1:20">
      <c r="A28" s="195" t="s">
        <v>427</v>
      </c>
    </row>
    <row r="29" spans="1:20">
      <c r="A29" s="195" t="s">
        <v>434</v>
      </c>
      <c r="D29" s="212" t="s">
        <v>433</v>
      </c>
      <c r="F29" t="s">
        <v>428</v>
      </c>
      <c r="G29" s="212" t="s">
        <v>432</v>
      </c>
      <c r="N29" t="s">
        <v>435</v>
      </c>
    </row>
    <row r="30" spans="1:20">
      <c r="D30" s="274">
        <v>100</v>
      </c>
      <c r="E30" s="273" t="s">
        <v>597</v>
      </c>
      <c r="F30" s="215" t="s">
        <v>613</v>
      </c>
      <c r="G30" s="233"/>
      <c r="I30" s="226" t="s">
        <v>431</v>
      </c>
      <c r="L30" s="213" t="s">
        <v>241</v>
      </c>
      <c r="M30" s="213" t="s">
        <v>430</v>
      </c>
      <c r="N30" s="213" t="s">
        <v>165</v>
      </c>
    </row>
    <row r="31" spans="1:20">
      <c r="C31" s="217" t="s">
        <v>144</v>
      </c>
      <c r="D31" s="213" t="s">
        <v>241</v>
      </c>
      <c r="E31" s="224" t="s">
        <v>477</v>
      </c>
      <c r="F31" s="213" t="s">
        <v>241</v>
      </c>
      <c r="G31" s="224" t="s">
        <v>477</v>
      </c>
      <c r="L31" s="213">
        <v>5</v>
      </c>
      <c r="N31" s="213">
        <v>5</v>
      </c>
    </row>
    <row r="32" spans="1:20">
      <c r="C32" s="217" t="str">
        <f>L$31&amp;"P"&amp;N31</f>
        <v>5P5</v>
      </c>
      <c r="D32" s="216">
        <v>1</v>
      </c>
      <c r="E32" s="224">
        <v>60</v>
      </c>
      <c r="F32" s="216">
        <f>L$31</f>
        <v>5</v>
      </c>
      <c r="G32" s="224">
        <f>N31</f>
        <v>5</v>
      </c>
      <c r="L32" s="213">
        <v>10</v>
      </c>
      <c r="N32" s="213">
        <v>10</v>
      </c>
    </row>
    <row r="33" spans="1:16">
      <c r="C33" s="217" t="str">
        <f>L$31&amp;"P"&amp;N32</f>
        <v>5P10</v>
      </c>
      <c r="D33" s="216">
        <v>1</v>
      </c>
      <c r="E33" s="224">
        <v>60</v>
      </c>
      <c r="F33" s="216">
        <f>L$31</f>
        <v>5</v>
      </c>
      <c r="G33" s="224">
        <f>N32</f>
        <v>10</v>
      </c>
      <c r="L33" t="s">
        <v>428</v>
      </c>
      <c r="N33" s="213">
        <v>15</v>
      </c>
    </row>
    <row r="34" spans="1:16">
      <c r="C34" s="217" t="str">
        <f>L$31&amp;"P"&amp;N33</f>
        <v>5P15</v>
      </c>
      <c r="D34" s="216">
        <v>1</v>
      </c>
      <c r="E34" s="224">
        <v>60</v>
      </c>
      <c r="F34" s="216">
        <f>L$31</f>
        <v>5</v>
      </c>
      <c r="G34" s="224">
        <f>N33</f>
        <v>15</v>
      </c>
      <c r="N34" s="213">
        <v>20</v>
      </c>
    </row>
    <row r="35" spans="1:16">
      <c r="C35" s="217" t="str">
        <f>L$31&amp;"P"&amp;N34</f>
        <v>5P20</v>
      </c>
      <c r="D35" s="216">
        <v>1</v>
      </c>
      <c r="E35" s="224">
        <v>60</v>
      </c>
      <c r="F35" s="216">
        <f>L$31</f>
        <v>5</v>
      </c>
      <c r="G35" s="224">
        <f>N34</f>
        <v>20</v>
      </c>
      <c r="N35" s="213">
        <v>30</v>
      </c>
    </row>
    <row r="36" spans="1:16">
      <c r="C36" s="217" t="str">
        <f>L$31&amp;"P"&amp;N35</f>
        <v>5P30</v>
      </c>
      <c r="D36" s="216">
        <v>1</v>
      </c>
      <c r="E36" s="224">
        <v>60</v>
      </c>
      <c r="F36" s="216">
        <f>L$31</f>
        <v>5</v>
      </c>
      <c r="G36" s="224">
        <f>N35</f>
        <v>30</v>
      </c>
    </row>
    <row r="37" spans="1:16">
      <c r="C37" s="217" t="str">
        <f>L$32&amp;"P"&amp;N31</f>
        <v>10P5</v>
      </c>
      <c r="D37" s="216">
        <v>3</v>
      </c>
      <c r="E37" s="225" t="s">
        <v>52</v>
      </c>
      <c r="F37" s="216">
        <f>L$32</f>
        <v>10</v>
      </c>
      <c r="G37" s="224">
        <f>N31</f>
        <v>5</v>
      </c>
    </row>
    <row r="38" spans="1:16">
      <c r="C38" s="217" t="str">
        <f>L$32&amp;"P"&amp;N32</f>
        <v>10P10</v>
      </c>
      <c r="D38" s="216">
        <v>3</v>
      </c>
      <c r="E38" s="225" t="s">
        <v>52</v>
      </c>
      <c r="F38" s="216">
        <f>L$32</f>
        <v>10</v>
      </c>
      <c r="G38" s="224">
        <f>N32</f>
        <v>10</v>
      </c>
    </row>
    <row r="39" spans="1:16">
      <c r="C39" s="217" t="str">
        <f>L$32&amp;"P"&amp;N33</f>
        <v>10P15</v>
      </c>
      <c r="D39" s="216">
        <v>3</v>
      </c>
      <c r="E39" s="225" t="s">
        <v>52</v>
      </c>
      <c r="F39" s="216">
        <f>L$32</f>
        <v>10</v>
      </c>
      <c r="G39" s="224">
        <f>N33</f>
        <v>15</v>
      </c>
    </row>
    <row r="40" spans="1:16">
      <c r="C40" s="217" t="str">
        <f>L$32&amp;"P"&amp;N34</f>
        <v>10P20</v>
      </c>
      <c r="D40" s="216">
        <v>3</v>
      </c>
      <c r="E40" s="225" t="s">
        <v>52</v>
      </c>
      <c r="F40" s="216">
        <f>L$32</f>
        <v>10</v>
      </c>
      <c r="G40" s="224">
        <f>N34</f>
        <v>20</v>
      </c>
    </row>
    <row r="41" spans="1:16">
      <c r="C41" s="217" t="str">
        <f>L$32&amp;"P"&amp;N35</f>
        <v>10P30</v>
      </c>
      <c r="D41" s="216">
        <v>3</v>
      </c>
      <c r="E41" s="225" t="s">
        <v>52</v>
      </c>
      <c r="F41" s="216">
        <f>L$32</f>
        <v>10</v>
      </c>
      <c r="G41" s="224">
        <f>N35</f>
        <v>30</v>
      </c>
    </row>
    <row r="42" spans="1:16">
      <c r="C42" t="s">
        <v>438</v>
      </c>
    </row>
    <row r="46" spans="1:16" ht="23.25">
      <c r="A46" s="227" t="s">
        <v>437</v>
      </c>
      <c r="I46" s="195" t="s">
        <v>487</v>
      </c>
      <c r="L46" s="239" t="s">
        <v>485</v>
      </c>
      <c r="M46" s="238">
        <f>C58</f>
        <v>1.2</v>
      </c>
      <c r="N46" s="238" t="str">
        <f>C68</f>
        <v>B-0.9</v>
      </c>
      <c r="O46" s="239"/>
      <c r="P46" s="240"/>
    </row>
    <row r="47" spans="1:16" ht="18.75">
      <c r="L47" s="239" t="s">
        <v>486</v>
      </c>
      <c r="M47" s="242" t="str">
        <f>D86</f>
        <v>C400</v>
      </c>
      <c r="N47" s="242"/>
      <c r="O47" s="239"/>
    </row>
    <row r="48" spans="1:16">
      <c r="A48" s="195" t="s">
        <v>423</v>
      </c>
    </row>
    <row r="49" spans="1:25">
      <c r="A49" s="195" t="s">
        <v>445</v>
      </c>
    </row>
    <row r="50" spans="1:25">
      <c r="D50" s="274">
        <v>5</v>
      </c>
      <c r="E50" s="273" t="s">
        <v>597</v>
      </c>
      <c r="F50" s="274">
        <v>10</v>
      </c>
      <c r="G50" s="273" t="s">
        <v>597</v>
      </c>
      <c r="H50" s="274">
        <v>100</v>
      </c>
      <c r="I50" s="273" t="s">
        <v>597</v>
      </c>
      <c r="J50" s="215" t="s">
        <v>478</v>
      </c>
      <c r="K50" s="233"/>
      <c r="X50" s="235" t="s">
        <v>441</v>
      </c>
      <c r="Y50" s="236"/>
    </row>
    <row r="51" spans="1:25">
      <c r="C51" s="217" t="s">
        <v>144</v>
      </c>
      <c r="D51" s="213" t="s">
        <v>241</v>
      </c>
      <c r="E51" s="224" t="s">
        <v>477</v>
      </c>
      <c r="F51" s="213" t="s">
        <v>241</v>
      </c>
      <c r="G51" s="224" t="s">
        <v>477</v>
      </c>
      <c r="H51" s="213" t="s">
        <v>241</v>
      </c>
      <c r="I51" s="224" t="s">
        <v>477</v>
      </c>
      <c r="J51" s="213" t="s">
        <v>241</v>
      </c>
      <c r="K51" s="224" t="s">
        <v>477</v>
      </c>
      <c r="X51" s="237" t="s">
        <v>439</v>
      </c>
      <c r="Y51" s="237" t="s">
        <v>440</v>
      </c>
    </row>
    <row r="52" spans="1:25">
      <c r="C52" s="217" t="s">
        <v>62</v>
      </c>
      <c r="D52" s="221" t="s">
        <v>52</v>
      </c>
      <c r="E52" s="228" t="s">
        <v>52</v>
      </c>
      <c r="F52" s="216">
        <v>0.3</v>
      </c>
      <c r="G52" s="224">
        <v>15</v>
      </c>
      <c r="H52" s="216">
        <v>0.15</v>
      </c>
      <c r="I52" s="224">
        <v>7.5</v>
      </c>
      <c r="J52" s="216">
        <v>0.15</v>
      </c>
      <c r="K52" s="224">
        <v>7.5</v>
      </c>
      <c r="X52" s="237">
        <v>0.6</v>
      </c>
      <c r="Y52" s="237">
        <v>1</v>
      </c>
    </row>
    <row r="53" spans="1:25">
      <c r="C53" s="217" t="s">
        <v>61</v>
      </c>
      <c r="D53" s="216">
        <v>0.15</v>
      </c>
      <c r="E53" s="224">
        <v>7.5</v>
      </c>
      <c r="F53" s="221" t="s">
        <v>52</v>
      </c>
      <c r="G53" s="228" t="s">
        <v>52</v>
      </c>
      <c r="H53" s="216">
        <v>0.15</v>
      </c>
      <c r="I53" s="224">
        <v>7.5</v>
      </c>
      <c r="J53" s="216">
        <v>0.15</v>
      </c>
      <c r="K53" s="224">
        <v>7.5</v>
      </c>
      <c r="X53" s="237">
        <v>0.6</v>
      </c>
      <c r="Y53" s="237">
        <v>1</v>
      </c>
    </row>
    <row r="54" spans="1:25">
      <c r="C54" s="217">
        <v>0.15</v>
      </c>
      <c r="D54" s="216">
        <v>0.3</v>
      </c>
      <c r="E54" s="224">
        <v>15</v>
      </c>
      <c r="F54" s="221" t="s">
        <v>52</v>
      </c>
      <c r="G54" s="228" t="s">
        <v>52</v>
      </c>
      <c r="H54" s="216">
        <v>0.15</v>
      </c>
      <c r="I54" s="224">
        <v>7.5</v>
      </c>
      <c r="J54" s="216">
        <v>0.15</v>
      </c>
      <c r="K54" s="224">
        <v>7.5</v>
      </c>
      <c r="X54" s="237">
        <v>0.6</v>
      </c>
      <c r="Y54" s="237">
        <v>1</v>
      </c>
    </row>
    <row r="55" spans="1:25">
      <c r="C55" s="217" t="s">
        <v>63</v>
      </c>
      <c r="D55" s="216">
        <v>0.3</v>
      </c>
      <c r="E55" s="224">
        <v>15</v>
      </c>
      <c r="F55" s="221" t="s">
        <v>52</v>
      </c>
      <c r="G55" s="228" t="s">
        <v>52</v>
      </c>
      <c r="H55" s="216">
        <v>0.3</v>
      </c>
      <c r="I55" s="224">
        <v>15</v>
      </c>
      <c r="J55" s="216">
        <v>0.3</v>
      </c>
      <c r="K55" s="224">
        <v>15</v>
      </c>
      <c r="X55" s="237">
        <v>0.6</v>
      </c>
      <c r="Y55" s="237">
        <v>1</v>
      </c>
    </row>
    <row r="56" spans="1:25">
      <c r="C56" s="217">
        <v>0.3</v>
      </c>
      <c r="D56" s="221" t="s">
        <v>52</v>
      </c>
      <c r="E56" s="228" t="s">
        <v>52</v>
      </c>
      <c r="F56" s="216">
        <v>0.6</v>
      </c>
      <c r="G56" s="224">
        <v>30</v>
      </c>
      <c r="H56" s="216">
        <v>0.3</v>
      </c>
      <c r="I56" s="224">
        <v>15</v>
      </c>
      <c r="J56" s="216">
        <v>0.3</v>
      </c>
      <c r="K56" s="224">
        <v>15</v>
      </c>
      <c r="X56" s="237">
        <v>0.6</v>
      </c>
      <c r="Y56" s="237">
        <v>1</v>
      </c>
    </row>
    <row r="57" spans="1:25">
      <c r="C57" s="217">
        <v>0.6</v>
      </c>
      <c r="D57" s="221" t="s">
        <v>52</v>
      </c>
      <c r="E57" s="228" t="s">
        <v>52</v>
      </c>
      <c r="F57" s="216">
        <v>1.2</v>
      </c>
      <c r="G57" s="224">
        <v>60</v>
      </c>
      <c r="H57" s="216">
        <v>0.6</v>
      </c>
      <c r="I57" s="224">
        <v>30</v>
      </c>
      <c r="J57" s="216">
        <v>0.6</v>
      </c>
      <c r="K57" s="224">
        <v>30</v>
      </c>
      <c r="X57" s="237">
        <v>0.6</v>
      </c>
      <c r="Y57" s="237">
        <v>1</v>
      </c>
    </row>
    <row r="58" spans="1:25">
      <c r="C58" s="217">
        <v>1.2</v>
      </c>
      <c r="D58" s="221" t="s">
        <v>52</v>
      </c>
      <c r="E58" s="228" t="s">
        <v>52</v>
      </c>
      <c r="F58" s="216">
        <v>2.4</v>
      </c>
      <c r="G58" s="224">
        <v>120</v>
      </c>
      <c r="H58" s="216">
        <v>1.2</v>
      </c>
      <c r="I58" s="224">
        <v>60</v>
      </c>
      <c r="J58" s="216">
        <v>1.2</v>
      </c>
      <c r="K58" s="224">
        <v>60</v>
      </c>
      <c r="X58" s="237">
        <v>0.6</v>
      </c>
      <c r="Y58" s="237">
        <v>1</v>
      </c>
    </row>
    <row r="59" spans="1:25">
      <c r="C59" t="s">
        <v>444</v>
      </c>
      <c r="X59" s="148" t="s">
        <v>483</v>
      </c>
    </row>
    <row r="60" spans="1:25">
      <c r="C60" t="s">
        <v>442</v>
      </c>
    </row>
    <row r="62" spans="1:25">
      <c r="A62" s="195" t="s">
        <v>423</v>
      </c>
    </row>
    <row r="63" spans="1:25">
      <c r="A63" s="195" t="s">
        <v>452</v>
      </c>
    </row>
    <row r="64" spans="1:25">
      <c r="C64" s="217" t="s">
        <v>463</v>
      </c>
      <c r="D64" s="229" t="s">
        <v>450</v>
      </c>
      <c r="E64" s="229" t="s">
        <v>451</v>
      </c>
      <c r="F64" s="229" t="s">
        <v>447</v>
      </c>
      <c r="G64" s="229" t="s">
        <v>454</v>
      </c>
      <c r="H64" s="229" t="s">
        <v>455</v>
      </c>
      <c r="I64" s="229" t="s">
        <v>456</v>
      </c>
      <c r="J64" s="229" t="s">
        <v>457</v>
      </c>
      <c r="K64" s="229" t="s">
        <v>420</v>
      </c>
    </row>
    <row r="65" spans="1:15">
      <c r="C65" s="230" t="str">
        <f>"B-"&amp;H65</f>
        <v>B-0.1</v>
      </c>
      <c r="D65" s="229">
        <f>H65*5^2</f>
        <v>2.5</v>
      </c>
      <c r="E65" s="229">
        <f>D65/(5/1)^2</f>
        <v>0.1</v>
      </c>
      <c r="F65" s="229">
        <v>0.09</v>
      </c>
      <c r="G65" s="229">
        <f>ROUND(0.116/1000*2*PI()*60,3)</f>
        <v>4.3999999999999997E-2</v>
      </c>
      <c r="H65" s="229">
        <f t="shared" ref="H65:H69" si="5">ROUND((F65^2+G65^2)^0.5,1)</f>
        <v>0.1</v>
      </c>
      <c r="I65" s="229">
        <f>ROUND(0.116/1000*2*PI()*50,3)</f>
        <v>3.5999999999999997E-2</v>
      </c>
      <c r="J65" s="229">
        <f>ROUND((F65^2+I65^2)^0.5,2)</f>
        <v>0.1</v>
      </c>
      <c r="K65" s="229">
        <v>0.9</v>
      </c>
    </row>
    <row r="66" spans="1:15">
      <c r="C66" s="230" t="str">
        <f>"B-"&amp;H66</f>
        <v>B-0.2</v>
      </c>
      <c r="D66" s="229">
        <f>H66*5^2</f>
        <v>5</v>
      </c>
      <c r="E66" s="229">
        <f>D66/(5/1)^2</f>
        <v>0.2</v>
      </c>
      <c r="F66" s="229">
        <v>0.18</v>
      </c>
      <c r="G66" s="229">
        <f>ROUND(0.232/1000*2*PI()*60,3)</f>
        <v>8.6999999999999994E-2</v>
      </c>
      <c r="H66" s="229">
        <f t="shared" si="5"/>
        <v>0.2</v>
      </c>
      <c r="I66" s="229">
        <f>ROUND(0.232/1000*2*PI()*50,3)</f>
        <v>7.2999999999999995E-2</v>
      </c>
      <c r="J66" s="229">
        <f t="shared" ref="J66:J69" si="6">ROUND((F66^2+I66^2)^0.5,2)</f>
        <v>0.19</v>
      </c>
      <c r="K66" s="229">
        <v>0.9</v>
      </c>
    </row>
    <row r="67" spans="1:15">
      <c r="C67" s="230" t="str">
        <f>"B-"&amp;H67</f>
        <v>B-0.5</v>
      </c>
      <c r="D67" s="229">
        <f>H67*5^2</f>
        <v>12.5</v>
      </c>
      <c r="E67" s="229">
        <f>D67/(5/1)^2</f>
        <v>0.5</v>
      </c>
      <c r="F67" s="229">
        <v>0.45</v>
      </c>
      <c r="G67" s="229">
        <f>ROUND(0.58/1000*2*PI()*60,3)</f>
        <v>0.219</v>
      </c>
      <c r="H67" s="229">
        <f t="shared" si="5"/>
        <v>0.5</v>
      </c>
      <c r="I67" s="229">
        <f>ROUND(0.58/1000*2*PI()*50,3)</f>
        <v>0.182</v>
      </c>
      <c r="J67" s="229">
        <f t="shared" si="6"/>
        <v>0.49</v>
      </c>
      <c r="K67" s="229">
        <v>0.9</v>
      </c>
    </row>
    <row r="68" spans="1:15">
      <c r="C68" s="230" t="str">
        <f>"B-"&amp;H68</f>
        <v>B-0.9</v>
      </c>
      <c r="D68" s="229">
        <f>H68*5^2</f>
        <v>22.5</v>
      </c>
      <c r="E68" s="229">
        <f>D68/(5/1)^2</f>
        <v>0.9</v>
      </c>
      <c r="F68" s="229">
        <v>0.81</v>
      </c>
      <c r="G68" s="229">
        <f>ROUND(1.04/1000*2*PI()*60,3)</f>
        <v>0.39200000000000002</v>
      </c>
      <c r="H68" s="229">
        <f t="shared" si="5"/>
        <v>0.9</v>
      </c>
      <c r="I68" s="229">
        <f>ROUND(1.04/1000*2*PI()*50,3)</f>
        <v>0.32700000000000001</v>
      </c>
      <c r="J68" s="229">
        <f t="shared" si="6"/>
        <v>0.87</v>
      </c>
      <c r="K68" s="229">
        <v>0.9</v>
      </c>
    </row>
    <row r="69" spans="1:15">
      <c r="C69" s="230" t="str">
        <f>"B-"&amp;H69</f>
        <v>B-1.8</v>
      </c>
      <c r="D69" s="229">
        <f>H69*5^2</f>
        <v>45</v>
      </c>
      <c r="E69" s="229">
        <f>D69/(5/1)^2</f>
        <v>1.8</v>
      </c>
      <c r="F69" s="229">
        <v>1.62</v>
      </c>
      <c r="G69" s="229">
        <f>ROUND(2.08/1000*2*PI()*60,3)</f>
        <v>0.78400000000000003</v>
      </c>
      <c r="H69" s="229">
        <f t="shared" si="5"/>
        <v>1.8</v>
      </c>
      <c r="I69" s="229">
        <f>ROUND(2.08/1000*2*PI()*50,3)</f>
        <v>0.65300000000000002</v>
      </c>
      <c r="J69" s="229">
        <f t="shared" si="6"/>
        <v>1.75</v>
      </c>
      <c r="K69" s="229">
        <v>0.9</v>
      </c>
    </row>
    <row r="72" spans="1:15">
      <c r="A72" s="195" t="s">
        <v>426</v>
      </c>
    </row>
    <row r="73" spans="1:15">
      <c r="A73" s="195" t="s">
        <v>453</v>
      </c>
      <c r="D73" s="212"/>
      <c r="E73" s="212"/>
      <c r="G73" s="212"/>
    </row>
    <row r="74" spans="1:15">
      <c r="A74" s="195"/>
      <c r="D74" s="274">
        <v>100</v>
      </c>
      <c r="E74" s="273" t="s">
        <v>597</v>
      </c>
      <c r="F74" s="215" t="s">
        <v>613</v>
      </c>
      <c r="G74" s="233"/>
      <c r="H74" s="215" t="s">
        <v>613</v>
      </c>
      <c r="I74" s="233"/>
    </row>
    <row r="75" spans="1:15">
      <c r="C75" s="217" t="s">
        <v>144</v>
      </c>
      <c r="D75" s="213" t="s">
        <v>241</v>
      </c>
      <c r="E75" s="224" t="s">
        <v>477</v>
      </c>
      <c r="F75" s="213" t="s">
        <v>241</v>
      </c>
      <c r="G75" s="224" t="s">
        <v>477</v>
      </c>
      <c r="H75" s="213" t="s">
        <v>241</v>
      </c>
      <c r="I75" s="224" t="s">
        <v>477</v>
      </c>
    </row>
    <row r="76" spans="1:15">
      <c r="C76" s="217" t="s">
        <v>72</v>
      </c>
      <c r="D76" s="216">
        <v>3</v>
      </c>
      <c r="E76" s="228" t="s">
        <v>52</v>
      </c>
      <c r="F76" s="216">
        <v>10</v>
      </c>
      <c r="G76" s="228" t="s">
        <v>52</v>
      </c>
      <c r="H76" s="216">
        <v>10</v>
      </c>
      <c r="I76" s="228" t="s">
        <v>52</v>
      </c>
    </row>
    <row r="78" spans="1:15">
      <c r="A78" s="195" t="s">
        <v>426</v>
      </c>
    </row>
    <row r="79" spans="1:15">
      <c r="A79" s="195" t="s">
        <v>475</v>
      </c>
    </row>
    <row r="80" spans="1:15">
      <c r="C80" s="217" t="s">
        <v>467</v>
      </c>
      <c r="D80" s="230" t="s">
        <v>144</v>
      </c>
      <c r="E80" s="229" t="s">
        <v>450</v>
      </c>
      <c r="F80" s="229" t="s">
        <v>46</v>
      </c>
      <c r="G80" s="229" t="s">
        <v>458</v>
      </c>
      <c r="H80" s="229" t="s">
        <v>459</v>
      </c>
      <c r="I80" s="229" t="s">
        <v>420</v>
      </c>
      <c r="J80" s="229" t="s">
        <v>462</v>
      </c>
      <c r="K80" s="229" t="s">
        <v>48</v>
      </c>
      <c r="L80" s="229" t="s">
        <v>460</v>
      </c>
      <c r="M80" s="229" t="s">
        <v>461</v>
      </c>
      <c r="N80" s="229" t="s">
        <v>451</v>
      </c>
      <c r="O80" s="231" t="s">
        <v>468</v>
      </c>
    </row>
    <row r="81" spans="1:15">
      <c r="C81" s="230" t="str">
        <f t="shared" ref="C81:C87" si="7">"B-"&amp;H81</f>
        <v>B-0.1</v>
      </c>
      <c r="D81" s="230" t="str">
        <f t="shared" ref="D81:D87" si="8">"C"&amp;J81</f>
        <v>C10</v>
      </c>
      <c r="E81" s="229">
        <f t="shared" ref="E81:E87" si="9">H81*5^2</f>
        <v>2.5</v>
      </c>
      <c r="F81" s="229">
        <v>0.09</v>
      </c>
      <c r="G81" s="229">
        <f>ROUND(0.116/1000*2*PI()*60,3)</f>
        <v>4.3999999999999997E-2</v>
      </c>
      <c r="H81" s="229">
        <f t="shared" ref="H81:H86" si="10">ROUND((F81^2+G81^2)^0.5,1)</f>
        <v>0.1</v>
      </c>
      <c r="I81" s="229">
        <v>0.9</v>
      </c>
      <c r="J81" s="229">
        <f t="shared" ref="J81:J87" si="11">H81*5*20</f>
        <v>10</v>
      </c>
      <c r="K81" s="229">
        <f>J81/20/1*I81</f>
        <v>0.45</v>
      </c>
      <c r="L81" s="229">
        <f>ROUND((M81^2-K81^2)^0.5,3)</f>
        <v>0.218</v>
      </c>
      <c r="M81" s="229">
        <f>J81/20/1</f>
        <v>0.5</v>
      </c>
      <c r="N81" s="229">
        <f>M81*1^2</f>
        <v>0.5</v>
      </c>
      <c r="O81" s="232" t="str">
        <f>"B-"&amp;M81</f>
        <v>B-0.5</v>
      </c>
    </row>
    <row r="82" spans="1:15">
      <c r="C82" s="230" t="str">
        <f t="shared" si="7"/>
        <v>B-0.2</v>
      </c>
      <c r="D82" s="230" t="str">
        <f t="shared" si="8"/>
        <v>C20</v>
      </c>
      <c r="E82" s="229">
        <f t="shared" si="9"/>
        <v>5</v>
      </c>
      <c r="F82" s="229">
        <v>0.18</v>
      </c>
      <c r="G82" s="229">
        <f>ROUND(0.232/1000*2*PI()*60,3)</f>
        <v>8.6999999999999994E-2</v>
      </c>
      <c r="H82" s="229">
        <f t="shared" si="10"/>
        <v>0.2</v>
      </c>
      <c r="I82" s="229">
        <v>0.9</v>
      </c>
      <c r="J82" s="229">
        <f t="shared" si="11"/>
        <v>20</v>
      </c>
      <c r="K82" s="229">
        <f t="shared" ref="K82:K87" si="12">J82/20/1*I82</f>
        <v>0.9</v>
      </c>
      <c r="L82" s="229">
        <f t="shared" ref="L82:L87" si="13">ROUND((M82^2-K82^2)^0.5,3)</f>
        <v>0.436</v>
      </c>
      <c r="M82" s="229">
        <f t="shared" ref="M82:M87" si="14">J82/20/1</f>
        <v>1</v>
      </c>
      <c r="N82" s="229">
        <f t="shared" ref="N82:N87" si="15">M82*1^2</f>
        <v>1</v>
      </c>
      <c r="O82" s="232" t="str">
        <f t="shared" ref="O82:O87" si="16">"B-"&amp;M82</f>
        <v>B-1</v>
      </c>
    </row>
    <row r="83" spans="1:15">
      <c r="C83" s="230" t="str">
        <f t="shared" si="7"/>
        <v>B-0.5</v>
      </c>
      <c r="D83" s="230" t="str">
        <f t="shared" si="8"/>
        <v>C50</v>
      </c>
      <c r="E83" s="229">
        <f t="shared" si="9"/>
        <v>12.5</v>
      </c>
      <c r="F83" s="229">
        <v>0.45</v>
      </c>
      <c r="G83" s="229">
        <f>ROUND(0.58/1000*2*PI()*60,3)</f>
        <v>0.219</v>
      </c>
      <c r="H83" s="229">
        <f t="shared" si="10"/>
        <v>0.5</v>
      </c>
      <c r="I83" s="229">
        <v>0.9</v>
      </c>
      <c r="J83" s="229">
        <f t="shared" si="11"/>
        <v>50</v>
      </c>
      <c r="K83" s="229">
        <f t="shared" si="12"/>
        <v>2.25</v>
      </c>
      <c r="L83" s="229">
        <f t="shared" si="13"/>
        <v>1.0900000000000001</v>
      </c>
      <c r="M83" s="229">
        <f t="shared" si="14"/>
        <v>2.5</v>
      </c>
      <c r="N83" s="229">
        <f t="shared" si="15"/>
        <v>2.5</v>
      </c>
      <c r="O83" s="232" t="str">
        <f t="shared" si="16"/>
        <v>B-2.5</v>
      </c>
    </row>
    <row r="84" spans="1:15">
      <c r="C84" s="230" t="str">
        <f t="shared" si="7"/>
        <v>B-1</v>
      </c>
      <c r="D84" s="230" t="str">
        <f t="shared" si="8"/>
        <v>C100</v>
      </c>
      <c r="E84" s="229">
        <f t="shared" si="9"/>
        <v>25</v>
      </c>
      <c r="F84" s="229">
        <v>0.5</v>
      </c>
      <c r="G84" s="229">
        <f>ROUND(2.3/1000*2*PI()*60,3)</f>
        <v>0.86699999999999999</v>
      </c>
      <c r="H84" s="229">
        <f t="shared" si="10"/>
        <v>1</v>
      </c>
      <c r="I84" s="229">
        <v>0.5</v>
      </c>
      <c r="J84" s="229">
        <f t="shared" si="11"/>
        <v>100</v>
      </c>
      <c r="K84" s="229">
        <f t="shared" si="12"/>
        <v>2.5</v>
      </c>
      <c r="L84" s="229">
        <f t="shared" si="13"/>
        <v>4.33</v>
      </c>
      <c r="M84" s="229">
        <f t="shared" si="14"/>
        <v>5</v>
      </c>
      <c r="N84" s="229">
        <f t="shared" si="15"/>
        <v>5</v>
      </c>
      <c r="O84" s="232" t="str">
        <f t="shared" si="16"/>
        <v>B-5</v>
      </c>
    </row>
    <row r="85" spans="1:15">
      <c r="C85" s="230" t="str">
        <f t="shared" si="7"/>
        <v>B-2</v>
      </c>
      <c r="D85" s="230" t="str">
        <f t="shared" si="8"/>
        <v>C200</v>
      </c>
      <c r="E85" s="229">
        <f t="shared" si="9"/>
        <v>50</v>
      </c>
      <c r="F85" s="229">
        <v>1</v>
      </c>
      <c r="G85" s="229">
        <f>ROUND(4.6/1000*2*PI()*60,3)</f>
        <v>1.734</v>
      </c>
      <c r="H85" s="229">
        <f t="shared" si="10"/>
        <v>2</v>
      </c>
      <c r="I85" s="229">
        <v>0.5</v>
      </c>
      <c r="J85" s="229">
        <f t="shared" si="11"/>
        <v>200</v>
      </c>
      <c r="K85" s="229">
        <f t="shared" si="12"/>
        <v>5</v>
      </c>
      <c r="L85" s="229">
        <f t="shared" si="13"/>
        <v>8.66</v>
      </c>
      <c r="M85" s="229">
        <f t="shared" si="14"/>
        <v>10</v>
      </c>
      <c r="N85" s="229">
        <f t="shared" si="15"/>
        <v>10</v>
      </c>
      <c r="O85" s="232" t="str">
        <f t="shared" si="16"/>
        <v>B-10</v>
      </c>
    </row>
    <row r="86" spans="1:15">
      <c r="C86" s="230" t="str">
        <f t="shared" si="7"/>
        <v>B-4</v>
      </c>
      <c r="D86" s="230" t="str">
        <f t="shared" si="8"/>
        <v>C400</v>
      </c>
      <c r="E86" s="229">
        <f t="shared" si="9"/>
        <v>100</v>
      </c>
      <c r="F86" s="229">
        <v>2</v>
      </c>
      <c r="G86" s="229">
        <f>ROUND(9.2/1000*2*PI()*60,3)</f>
        <v>3.468</v>
      </c>
      <c r="H86" s="229">
        <f t="shared" si="10"/>
        <v>4</v>
      </c>
      <c r="I86" s="229">
        <v>0.5</v>
      </c>
      <c r="J86" s="229">
        <f t="shared" si="11"/>
        <v>400</v>
      </c>
      <c r="K86" s="229">
        <f t="shared" si="12"/>
        <v>10</v>
      </c>
      <c r="L86" s="229">
        <f t="shared" si="13"/>
        <v>17.321000000000002</v>
      </c>
      <c r="M86" s="229">
        <f t="shared" si="14"/>
        <v>20</v>
      </c>
      <c r="N86" s="229">
        <f t="shared" si="15"/>
        <v>20</v>
      </c>
      <c r="O86" s="232" t="str">
        <f t="shared" si="16"/>
        <v>B-20</v>
      </c>
    </row>
    <row r="87" spans="1:15">
      <c r="C87" s="230" t="str">
        <f t="shared" si="7"/>
        <v>B-8</v>
      </c>
      <c r="D87" s="230" t="str">
        <f t="shared" si="8"/>
        <v>C800</v>
      </c>
      <c r="E87" s="229">
        <f t="shared" si="9"/>
        <v>200</v>
      </c>
      <c r="F87" s="229">
        <v>4</v>
      </c>
      <c r="G87" s="229">
        <f>ROUND(18.4/1000*2*PI()*60,3)</f>
        <v>6.9370000000000003</v>
      </c>
      <c r="H87" s="229">
        <f>ROUND((F87^2+G87^2)^0.5,1)</f>
        <v>8</v>
      </c>
      <c r="I87" s="229">
        <v>0.5</v>
      </c>
      <c r="J87" s="229">
        <f t="shared" si="11"/>
        <v>800</v>
      </c>
      <c r="K87" s="229">
        <f t="shared" si="12"/>
        <v>20</v>
      </c>
      <c r="L87" s="229">
        <f t="shared" si="13"/>
        <v>34.640999999999998</v>
      </c>
      <c r="M87" s="229">
        <f t="shared" si="14"/>
        <v>40</v>
      </c>
      <c r="N87" s="229">
        <f t="shared" si="15"/>
        <v>40</v>
      </c>
      <c r="O87" s="232" t="str">
        <f t="shared" si="16"/>
        <v>B-40</v>
      </c>
    </row>
    <row r="90" spans="1:15" ht="23.25">
      <c r="A90" s="227" t="s">
        <v>469</v>
      </c>
      <c r="I90" s="195" t="s">
        <v>487</v>
      </c>
      <c r="L90" s="239" t="s">
        <v>485</v>
      </c>
      <c r="M90" s="238">
        <f>C97</f>
        <v>12.5</v>
      </c>
      <c r="N90" s="238" t="s">
        <v>39</v>
      </c>
      <c r="O90" s="240">
        <f>C123</f>
        <v>1.2</v>
      </c>
    </row>
    <row r="91" spans="1:15" ht="18.75">
      <c r="L91" s="239" t="s">
        <v>486</v>
      </c>
      <c r="M91" s="238">
        <f>C100</f>
        <v>45</v>
      </c>
      <c r="N91" s="238" t="s">
        <v>39</v>
      </c>
      <c r="O91" s="240" t="str">
        <f>C139</f>
        <v>10P20</v>
      </c>
    </row>
    <row r="92" spans="1:15">
      <c r="A92" s="195" t="s">
        <v>476</v>
      </c>
    </row>
    <row r="93" spans="1:15">
      <c r="A93" s="195" t="s">
        <v>470</v>
      </c>
      <c r="E93" s="219"/>
      <c r="F93" s="212"/>
      <c r="G93" s="212"/>
      <c r="H93" s="219"/>
    </row>
    <row r="94" spans="1:15">
      <c r="C94" s="217" t="s">
        <v>39</v>
      </c>
      <c r="D94" s="213" t="s">
        <v>420</v>
      </c>
      <c r="E94" s="213" t="s">
        <v>44</v>
      </c>
      <c r="F94" s="213" t="s">
        <v>46</v>
      </c>
      <c r="G94" s="213" t="s">
        <v>47</v>
      </c>
    </row>
    <row r="95" spans="1:15">
      <c r="C95" s="217">
        <v>2.5</v>
      </c>
      <c r="D95" s="213">
        <v>0.9</v>
      </c>
      <c r="E95" s="213">
        <f t="shared" ref="E95:E103" si="17">C95/5^2</f>
        <v>0.1</v>
      </c>
      <c r="F95" s="213">
        <f t="shared" ref="F95:F103" si="18">E95*$D95</f>
        <v>9.0000000000000011E-2</v>
      </c>
      <c r="G95" s="213">
        <f>ROUND((E95^2-F95^2)^0.5,3)</f>
        <v>4.3999999999999997E-2</v>
      </c>
    </row>
    <row r="96" spans="1:15">
      <c r="C96" s="217">
        <v>5</v>
      </c>
      <c r="D96" s="213">
        <v>0.9</v>
      </c>
      <c r="E96" s="213">
        <f t="shared" si="17"/>
        <v>0.2</v>
      </c>
      <c r="F96" s="213">
        <f t="shared" si="18"/>
        <v>0.18000000000000002</v>
      </c>
      <c r="G96" s="213">
        <f t="shared" ref="G96:G98" si="19">ROUND((E96^2-F96^2)^0.5,3)</f>
        <v>8.6999999999999994E-2</v>
      </c>
    </row>
    <row r="97" spans="1:7">
      <c r="C97" s="217">
        <v>12.5</v>
      </c>
      <c r="D97" s="213">
        <v>0.9</v>
      </c>
      <c r="E97" s="213">
        <f t="shared" si="17"/>
        <v>0.5</v>
      </c>
      <c r="F97" s="213">
        <f t="shared" si="18"/>
        <v>0.45</v>
      </c>
      <c r="G97" s="213">
        <f t="shared" si="19"/>
        <v>0.218</v>
      </c>
    </row>
    <row r="98" spans="1:7">
      <c r="C98" s="217">
        <v>22.5</v>
      </c>
      <c r="D98" s="213">
        <v>0.9</v>
      </c>
      <c r="E98" s="213">
        <f t="shared" si="17"/>
        <v>0.9</v>
      </c>
      <c r="F98" s="213">
        <f t="shared" si="18"/>
        <v>0.81</v>
      </c>
      <c r="G98" s="213">
        <f t="shared" si="19"/>
        <v>0.39200000000000002</v>
      </c>
    </row>
    <row r="99" spans="1:7">
      <c r="C99" s="217">
        <v>25</v>
      </c>
      <c r="D99" s="213">
        <v>0.5</v>
      </c>
      <c r="E99" s="213">
        <f t="shared" si="17"/>
        <v>1</v>
      </c>
      <c r="F99" s="213">
        <f t="shared" si="18"/>
        <v>0.5</v>
      </c>
      <c r="G99" s="213">
        <f>ROUND((E99^2-F99^2)^0.5,3)</f>
        <v>0.86599999999999999</v>
      </c>
    </row>
    <row r="100" spans="1:7">
      <c r="C100" s="217">
        <v>45</v>
      </c>
      <c r="D100" s="213">
        <v>0.9</v>
      </c>
      <c r="E100" s="213">
        <f t="shared" si="17"/>
        <v>1.8</v>
      </c>
      <c r="F100" s="213">
        <f t="shared" si="18"/>
        <v>1.62</v>
      </c>
      <c r="G100" s="213">
        <f>ROUND((E100^2-F100^2)^0.5,3)</f>
        <v>0.78500000000000003</v>
      </c>
    </row>
    <row r="101" spans="1:7">
      <c r="C101" s="217">
        <v>50</v>
      </c>
      <c r="D101" s="213">
        <v>0.5</v>
      </c>
      <c r="E101" s="213">
        <f t="shared" si="17"/>
        <v>2</v>
      </c>
      <c r="F101" s="213">
        <f t="shared" si="18"/>
        <v>1</v>
      </c>
      <c r="G101" s="213">
        <f>ROUND((E101^2-F101^2)^0.5,3)</f>
        <v>1.732</v>
      </c>
    </row>
    <row r="102" spans="1:7">
      <c r="C102" s="217">
        <v>90</v>
      </c>
      <c r="D102" s="213">
        <v>0.9</v>
      </c>
      <c r="E102" s="213">
        <f t="shared" si="17"/>
        <v>3.6</v>
      </c>
      <c r="F102" s="213">
        <f t="shared" si="18"/>
        <v>3.24</v>
      </c>
      <c r="G102" s="213">
        <f t="shared" ref="G102" si="20">ROUND((E102^2-F102^2)^0.5,3)</f>
        <v>1.569</v>
      </c>
    </row>
    <row r="103" spans="1:7">
      <c r="C103" s="217">
        <v>100</v>
      </c>
      <c r="D103" s="213">
        <v>0.5</v>
      </c>
      <c r="E103" s="213">
        <f t="shared" si="17"/>
        <v>4</v>
      </c>
      <c r="F103" s="213">
        <f t="shared" si="18"/>
        <v>2</v>
      </c>
      <c r="G103" s="213">
        <f>ROUND((E103^2-F103^2)^0.5,3)</f>
        <v>3.464</v>
      </c>
    </row>
    <row r="105" spans="1:7">
      <c r="A105" s="195" t="s">
        <v>471</v>
      </c>
      <c r="E105" s="219"/>
      <c r="F105" s="212"/>
      <c r="G105" s="212"/>
    </row>
    <row r="106" spans="1:7">
      <c r="C106" s="217" t="s">
        <v>39</v>
      </c>
      <c r="D106" s="213" t="s">
        <v>420</v>
      </c>
      <c r="E106" s="213" t="s">
        <v>45</v>
      </c>
      <c r="F106" s="213" t="s">
        <v>48</v>
      </c>
      <c r="G106" s="213" t="s">
        <v>49</v>
      </c>
    </row>
    <row r="107" spans="1:7">
      <c r="C107" s="217">
        <v>1</v>
      </c>
      <c r="D107" s="213">
        <v>1</v>
      </c>
      <c r="E107" s="213">
        <f t="shared" ref="E107:E113" si="21">C107/1^2</f>
        <v>1</v>
      </c>
      <c r="F107" s="213">
        <f t="shared" ref="F107:F113" si="22">E107*$D107</f>
        <v>1</v>
      </c>
      <c r="G107" s="213">
        <f t="shared" ref="G107:G110" si="23">ROUND((E107^2-F107^2)^0.5,3)</f>
        <v>0</v>
      </c>
    </row>
    <row r="108" spans="1:7">
      <c r="C108" s="217">
        <v>2.5</v>
      </c>
      <c r="D108" s="213">
        <v>1</v>
      </c>
      <c r="E108" s="213">
        <f t="shared" si="21"/>
        <v>2.5</v>
      </c>
      <c r="F108" s="213">
        <f t="shared" si="22"/>
        <v>2.5</v>
      </c>
      <c r="G108" s="213">
        <f t="shared" si="23"/>
        <v>0</v>
      </c>
    </row>
    <row r="109" spans="1:7">
      <c r="C109" s="217">
        <v>4</v>
      </c>
      <c r="D109" s="213">
        <v>1</v>
      </c>
      <c r="E109" s="213">
        <f t="shared" si="21"/>
        <v>4</v>
      </c>
      <c r="F109" s="213">
        <f t="shared" si="22"/>
        <v>4</v>
      </c>
      <c r="G109" s="213">
        <f t="shared" si="23"/>
        <v>0</v>
      </c>
    </row>
    <row r="110" spans="1:7">
      <c r="C110" s="217">
        <v>5</v>
      </c>
      <c r="D110" s="213">
        <v>1</v>
      </c>
      <c r="E110" s="213">
        <f t="shared" si="21"/>
        <v>5</v>
      </c>
      <c r="F110" s="213">
        <f t="shared" si="22"/>
        <v>5</v>
      </c>
      <c r="G110" s="213">
        <f t="shared" si="23"/>
        <v>0</v>
      </c>
    </row>
    <row r="111" spans="1:7">
      <c r="C111" s="217">
        <v>8</v>
      </c>
      <c r="D111" s="213">
        <v>0.9</v>
      </c>
      <c r="E111" s="213">
        <f t="shared" si="21"/>
        <v>8</v>
      </c>
      <c r="F111" s="213">
        <f t="shared" si="22"/>
        <v>7.2</v>
      </c>
      <c r="G111" s="213">
        <f>ROUND((E111^2-F111^2)^0.5,3)</f>
        <v>3.4870000000000001</v>
      </c>
    </row>
    <row r="112" spans="1:7">
      <c r="C112" s="217">
        <v>10</v>
      </c>
      <c r="D112" s="213">
        <v>0.9</v>
      </c>
      <c r="E112" s="213">
        <f t="shared" si="21"/>
        <v>10</v>
      </c>
      <c r="F112" s="213">
        <f t="shared" si="22"/>
        <v>9</v>
      </c>
      <c r="G112" s="213">
        <f t="shared" ref="G112:G113" si="24">ROUND((E112^2-F112^2)^0.5,3)</f>
        <v>4.359</v>
      </c>
    </row>
    <row r="113" spans="1:25">
      <c r="C113" s="217">
        <v>20</v>
      </c>
      <c r="D113" s="213">
        <v>0.9</v>
      </c>
      <c r="E113" s="213">
        <f t="shared" si="21"/>
        <v>20</v>
      </c>
      <c r="F113" s="213">
        <f t="shared" si="22"/>
        <v>18</v>
      </c>
      <c r="G113" s="213">
        <f t="shared" si="24"/>
        <v>8.718</v>
      </c>
    </row>
    <row r="115" spans="1:25">
      <c r="A115" s="195" t="s">
        <v>423</v>
      </c>
    </row>
    <row r="116" spans="1:25">
      <c r="A116" s="195" t="s">
        <v>479</v>
      </c>
    </row>
    <row r="117" spans="1:25">
      <c r="D117" s="274">
        <v>5</v>
      </c>
      <c r="E117" s="273" t="s">
        <v>597</v>
      </c>
      <c r="F117" s="274">
        <v>10</v>
      </c>
      <c r="G117" s="273" t="s">
        <v>597</v>
      </c>
      <c r="H117" s="274">
        <v>20</v>
      </c>
      <c r="I117" s="273" t="s">
        <v>597</v>
      </c>
      <c r="J117" s="274">
        <v>100</v>
      </c>
      <c r="K117" s="273" t="s">
        <v>597</v>
      </c>
      <c r="L117" s="215" t="s">
        <v>478</v>
      </c>
      <c r="M117" s="233"/>
      <c r="X117" s="235" t="s">
        <v>441</v>
      </c>
      <c r="Y117" s="236"/>
    </row>
    <row r="118" spans="1:25">
      <c r="C118" s="217" t="s">
        <v>144</v>
      </c>
      <c r="D118" s="213" t="s">
        <v>241</v>
      </c>
      <c r="E118" s="224" t="s">
        <v>477</v>
      </c>
      <c r="F118" s="213" t="s">
        <v>241</v>
      </c>
      <c r="G118" s="224" t="s">
        <v>477</v>
      </c>
      <c r="H118" s="213" t="s">
        <v>241</v>
      </c>
      <c r="I118" s="224" t="s">
        <v>477</v>
      </c>
      <c r="J118" s="213" t="s">
        <v>241</v>
      </c>
      <c r="K118" s="224" t="s">
        <v>477</v>
      </c>
      <c r="L118" s="213" t="s">
        <v>241</v>
      </c>
      <c r="M118" s="224" t="s">
        <v>477</v>
      </c>
      <c r="X118" s="237" t="s">
        <v>439</v>
      </c>
      <c r="Y118" s="237" t="s">
        <v>440</v>
      </c>
    </row>
    <row r="119" spans="1:25">
      <c r="C119" s="217">
        <v>0.3</v>
      </c>
      <c r="D119" s="222" t="s">
        <v>52</v>
      </c>
      <c r="E119" s="225" t="s">
        <v>52</v>
      </c>
      <c r="F119" s="216">
        <v>0.6</v>
      </c>
      <c r="G119" s="224">
        <v>30</v>
      </c>
      <c r="H119" s="222" t="s">
        <v>52</v>
      </c>
      <c r="I119" s="225" t="s">
        <v>52</v>
      </c>
      <c r="J119" s="216">
        <v>0.3</v>
      </c>
      <c r="K119" s="224">
        <v>15</v>
      </c>
      <c r="L119" s="216">
        <v>0.3</v>
      </c>
      <c r="M119" s="224">
        <v>15</v>
      </c>
      <c r="X119" s="237">
        <v>0.6</v>
      </c>
      <c r="Y119" s="237">
        <v>1</v>
      </c>
    </row>
    <row r="120" spans="1:25">
      <c r="C120" s="217" t="s">
        <v>63</v>
      </c>
      <c r="D120" s="216">
        <v>0.6</v>
      </c>
      <c r="E120" s="224">
        <v>30</v>
      </c>
      <c r="F120" s="222" t="s">
        <v>52</v>
      </c>
      <c r="G120" s="225" t="s">
        <v>52</v>
      </c>
      <c r="H120" s="216">
        <v>0.3</v>
      </c>
      <c r="I120" s="224">
        <v>15</v>
      </c>
      <c r="J120" s="216">
        <v>0.3</v>
      </c>
      <c r="K120" s="224">
        <v>15</v>
      </c>
      <c r="L120" s="216">
        <v>0.3</v>
      </c>
      <c r="M120" s="224">
        <v>15</v>
      </c>
      <c r="X120" s="237">
        <v>0.6</v>
      </c>
      <c r="Y120" s="237">
        <v>1</v>
      </c>
    </row>
    <row r="121" spans="1:25">
      <c r="C121" s="217">
        <v>0.6</v>
      </c>
      <c r="D121" s="222" t="s">
        <v>52</v>
      </c>
      <c r="E121" s="225" t="s">
        <v>52</v>
      </c>
      <c r="F121" s="216">
        <v>1.2</v>
      </c>
      <c r="G121" s="224">
        <v>60</v>
      </c>
      <c r="H121" s="222" t="s">
        <v>52</v>
      </c>
      <c r="I121" s="225" t="s">
        <v>52</v>
      </c>
      <c r="J121" s="216">
        <v>0.6</v>
      </c>
      <c r="K121" s="224">
        <v>30</v>
      </c>
      <c r="L121" s="216">
        <v>0.6</v>
      </c>
      <c r="M121" s="224">
        <v>30</v>
      </c>
      <c r="X121" s="237">
        <v>0.6</v>
      </c>
      <c r="Y121" s="237">
        <v>1</v>
      </c>
    </row>
    <row r="122" spans="1:25">
      <c r="C122" s="217" t="s">
        <v>472</v>
      </c>
      <c r="D122" s="216">
        <v>1.2</v>
      </c>
      <c r="E122" s="224">
        <v>60</v>
      </c>
      <c r="F122" s="222" t="s">
        <v>52</v>
      </c>
      <c r="G122" s="225" t="s">
        <v>52</v>
      </c>
      <c r="H122" s="216">
        <v>0.6</v>
      </c>
      <c r="I122" s="224">
        <v>30</v>
      </c>
      <c r="J122" s="216">
        <v>0.6</v>
      </c>
      <c r="K122" s="224">
        <v>30</v>
      </c>
      <c r="L122" s="216">
        <v>0.6</v>
      </c>
      <c r="M122" s="224">
        <v>30</v>
      </c>
      <c r="X122" s="237">
        <v>0.6</v>
      </c>
      <c r="Y122" s="237">
        <v>1</v>
      </c>
    </row>
    <row r="123" spans="1:25">
      <c r="C123" s="217">
        <v>1.2</v>
      </c>
      <c r="D123" s="222" t="s">
        <v>52</v>
      </c>
      <c r="E123" s="225" t="s">
        <v>52</v>
      </c>
      <c r="F123" s="216">
        <v>2.4</v>
      </c>
      <c r="G123" s="224">
        <v>120</v>
      </c>
      <c r="H123" s="222" t="s">
        <v>52</v>
      </c>
      <c r="I123" s="225" t="s">
        <v>52</v>
      </c>
      <c r="J123" s="216">
        <v>1.2</v>
      </c>
      <c r="K123" s="224">
        <v>60</v>
      </c>
      <c r="L123" s="216">
        <v>1.2</v>
      </c>
      <c r="M123" s="224">
        <v>60</v>
      </c>
      <c r="X123" s="237">
        <v>0.6</v>
      </c>
      <c r="Y123" s="237">
        <v>1</v>
      </c>
    </row>
    <row r="124" spans="1:25">
      <c r="C124" s="217">
        <v>3</v>
      </c>
      <c r="D124" s="222" t="s">
        <v>52</v>
      </c>
      <c r="E124" s="225" t="s">
        <v>52</v>
      </c>
      <c r="F124" s="222" t="s">
        <v>52</v>
      </c>
      <c r="G124" s="225" t="s">
        <v>52</v>
      </c>
      <c r="H124" s="222" t="s">
        <v>52</v>
      </c>
      <c r="I124" s="225" t="s">
        <v>52</v>
      </c>
      <c r="J124" s="216">
        <v>3</v>
      </c>
      <c r="K124" s="225" t="s">
        <v>52</v>
      </c>
      <c r="L124" s="216">
        <v>3</v>
      </c>
      <c r="M124" s="225" t="s">
        <v>52</v>
      </c>
      <c r="X124" s="237">
        <v>0.6</v>
      </c>
      <c r="Y124" s="237">
        <v>1</v>
      </c>
    </row>
    <row r="125" spans="1:25">
      <c r="C125" t="s">
        <v>473</v>
      </c>
      <c r="X125" s="148" t="s">
        <v>483</v>
      </c>
    </row>
    <row r="127" spans="1:25">
      <c r="A127" s="195" t="s">
        <v>427</v>
      </c>
    </row>
    <row r="128" spans="1:25">
      <c r="A128" s="195" t="s">
        <v>434</v>
      </c>
      <c r="D128" s="212" t="s">
        <v>614</v>
      </c>
      <c r="F128" t="s">
        <v>428</v>
      </c>
      <c r="G128" s="212"/>
      <c r="O128" t="s">
        <v>435</v>
      </c>
    </row>
    <row r="129" spans="1:16">
      <c r="D129" s="274">
        <v>100</v>
      </c>
      <c r="E129" s="273" t="s">
        <v>597</v>
      </c>
      <c r="F129" s="215" t="s">
        <v>613</v>
      </c>
      <c r="G129" s="233"/>
      <c r="J129" s="226" t="s">
        <v>431</v>
      </c>
      <c r="M129" s="213" t="s">
        <v>241</v>
      </c>
      <c r="N129" s="213" t="s">
        <v>430</v>
      </c>
      <c r="O129" s="213" t="s">
        <v>165</v>
      </c>
    </row>
    <row r="130" spans="1:16">
      <c r="C130" s="217" t="s">
        <v>144</v>
      </c>
      <c r="D130" s="213" t="s">
        <v>241</v>
      </c>
      <c r="E130" s="224" t="s">
        <v>477</v>
      </c>
      <c r="F130" s="213" t="s">
        <v>241</v>
      </c>
      <c r="G130" s="224" t="s">
        <v>477</v>
      </c>
      <c r="M130" s="213">
        <v>5</v>
      </c>
      <c r="O130" s="213">
        <v>5</v>
      </c>
    </row>
    <row r="131" spans="1:16">
      <c r="C131" s="217" t="str">
        <f>L$31&amp;"P"&amp;O130</f>
        <v>5P5</v>
      </c>
      <c r="D131" s="216">
        <v>1</v>
      </c>
      <c r="E131" s="224">
        <v>60</v>
      </c>
      <c r="F131" s="216">
        <f>L$31</f>
        <v>5</v>
      </c>
      <c r="G131" s="225" t="s">
        <v>52</v>
      </c>
      <c r="M131" s="213">
        <v>10</v>
      </c>
      <c r="O131" s="213">
        <v>10</v>
      </c>
    </row>
    <row r="132" spans="1:16">
      <c r="C132" s="217" t="str">
        <f>L$31&amp;"P"&amp;O131</f>
        <v>5P10</v>
      </c>
      <c r="D132" s="216">
        <v>1</v>
      </c>
      <c r="E132" s="224">
        <v>60</v>
      </c>
      <c r="F132" s="216">
        <f>L$31</f>
        <v>5</v>
      </c>
      <c r="G132" s="225" t="s">
        <v>52</v>
      </c>
      <c r="M132" t="s">
        <v>428</v>
      </c>
      <c r="O132" s="213">
        <v>15</v>
      </c>
    </row>
    <row r="133" spans="1:16">
      <c r="C133" s="217" t="str">
        <f>L$31&amp;"P"&amp;O132</f>
        <v>5P15</v>
      </c>
      <c r="D133" s="216">
        <v>1</v>
      </c>
      <c r="E133" s="224">
        <v>60</v>
      </c>
      <c r="F133" s="216">
        <f>L$31</f>
        <v>5</v>
      </c>
      <c r="G133" s="225" t="s">
        <v>52</v>
      </c>
      <c r="O133" s="213">
        <v>20</v>
      </c>
    </row>
    <row r="134" spans="1:16">
      <c r="C134" s="217" t="str">
        <f>L$31&amp;"P"&amp;O133</f>
        <v>5P20</v>
      </c>
      <c r="D134" s="216">
        <v>1</v>
      </c>
      <c r="E134" s="224">
        <v>60</v>
      </c>
      <c r="F134" s="216">
        <f>L$31</f>
        <v>5</v>
      </c>
      <c r="G134" s="225" t="s">
        <v>52</v>
      </c>
      <c r="O134" s="213">
        <v>30</v>
      </c>
    </row>
    <row r="135" spans="1:16">
      <c r="C135" s="217" t="str">
        <f>L$31&amp;"P"&amp;O134</f>
        <v>5P30</v>
      </c>
      <c r="D135" s="216">
        <v>1</v>
      </c>
      <c r="E135" s="224">
        <v>60</v>
      </c>
      <c r="F135" s="216">
        <f>L$31</f>
        <v>5</v>
      </c>
      <c r="G135" s="225" t="s">
        <v>52</v>
      </c>
    </row>
    <row r="136" spans="1:16">
      <c r="C136" s="217" t="str">
        <f>L$32&amp;"P"&amp;O130</f>
        <v>10P5</v>
      </c>
      <c r="D136" s="216">
        <v>3</v>
      </c>
      <c r="E136" s="225" t="s">
        <v>52</v>
      </c>
      <c r="F136" s="216">
        <f>L$32</f>
        <v>10</v>
      </c>
      <c r="G136" s="225" t="s">
        <v>52</v>
      </c>
    </row>
    <row r="137" spans="1:16">
      <c r="C137" s="217" t="str">
        <f>L$32&amp;"P"&amp;O131</f>
        <v>10P10</v>
      </c>
      <c r="D137" s="216">
        <v>3</v>
      </c>
      <c r="E137" s="225" t="s">
        <v>52</v>
      </c>
      <c r="F137" s="216">
        <f>L$32</f>
        <v>10</v>
      </c>
      <c r="G137" s="225" t="s">
        <v>52</v>
      </c>
    </row>
    <row r="138" spans="1:16">
      <c r="C138" s="217" t="str">
        <f>L$32&amp;"P"&amp;O132</f>
        <v>10P15</v>
      </c>
      <c r="D138" s="216">
        <v>3</v>
      </c>
      <c r="E138" s="225" t="s">
        <v>52</v>
      </c>
      <c r="F138" s="216">
        <f>L$32</f>
        <v>10</v>
      </c>
      <c r="G138" s="225" t="s">
        <v>52</v>
      </c>
    </row>
    <row r="139" spans="1:16">
      <c r="C139" s="217" t="str">
        <f>L$32&amp;"P"&amp;O133</f>
        <v>10P20</v>
      </c>
      <c r="D139" s="216">
        <v>3</v>
      </c>
      <c r="E139" s="225" t="s">
        <v>52</v>
      </c>
      <c r="F139" s="216">
        <f>L$32</f>
        <v>10</v>
      </c>
      <c r="G139" s="225" t="s">
        <v>52</v>
      </c>
    </row>
    <row r="140" spans="1:16">
      <c r="C140" s="217" t="str">
        <f>L$32&amp;"P"&amp;O134</f>
        <v>10P30</v>
      </c>
      <c r="D140" s="216">
        <v>3</v>
      </c>
      <c r="E140" s="225" t="s">
        <v>52</v>
      </c>
      <c r="F140" s="216">
        <f>L$32</f>
        <v>10</v>
      </c>
      <c r="G140" s="225" t="s">
        <v>52</v>
      </c>
    </row>
    <row r="143" spans="1:16" ht="23.25">
      <c r="A143" s="227" t="s">
        <v>481</v>
      </c>
      <c r="I143" s="195" t="s">
        <v>487</v>
      </c>
      <c r="L143" s="239" t="s">
        <v>485</v>
      </c>
      <c r="M143" s="238">
        <f>C165</f>
        <v>1.2</v>
      </c>
      <c r="N143" s="243" t="s">
        <v>72</v>
      </c>
      <c r="O143" s="240">
        <f>D150</f>
        <v>12.5</v>
      </c>
      <c r="P143" s="240"/>
    </row>
    <row r="144" spans="1:16" ht="18.75">
      <c r="L144" s="239" t="s">
        <v>486</v>
      </c>
      <c r="M144" s="238">
        <f>D174</f>
        <v>10</v>
      </c>
      <c r="N144" s="243" t="s">
        <v>488</v>
      </c>
      <c r="O144" s="240">
        <f>E152</f>
        <v>100</v>
      </c>
      <c r="P144" s="240"/>
    </row>
    <row r="145" spans="1:25">
      <c r="A145" s="195" t="s">
        <v>476</v>
      </c>
    </row>
    <row r="146" spans="1:25">
      <c r="A146" s="195" t="s">
        <v>470</v>
      </c>
      <c r="E146" s="219"/>
      <c r="F146" s="212"/>
      <c r="G146" s="212"/>
    </row>
    <row r="147" spans="1:25">
      <c r="C147" s="217" t="s">
        <v>463</v>
      </c>
      <c r="D147" s="217" t="s">
        <v>39</v>
      </c>
      <c r="E147" s="230" t="s">
        <v>448</v>
      </c>
      <c r="F147" s="213" t="s">
        <v>420</v>
      </c>
      <c r="G147" s="213" t="s">
        <v>44</v>
      </c>
      <c r="H147" s="213" t="s">
        <v>46</v>
      </c>
      <c r="I147" s="213" t="s">
        <v>47</v>
      </c>
      <c r="J147" s="229" t="s">
        <v>45</v>
      </c>
      <c r="K147" s="229" t="s">
        <v>48</v>
      </c>
      <c r="L147" s="229" t="s">
        <v>49</v>
      </c>
      <c r="M147" s="234" t="s">
        <v>449</v>
      </c>
      <c r="X147" s="235" t="s">
        <v>441</v>
      </c>
      <c r="Y147" s="236"/>
    </row>
    <row r="148" spans="1:25">
      <c r="C148" s="230" t="str">
        <f>"C "&amp;D148</f>
        <v>C 2.5</v>
      </c>
      <c r="D148" s="217">
        <v>2.5</v>
      </c>
      <c r="E148" s="230">
        <f t="shared" ref="E148:E157" si="25">G148*5*20</f>
        <v>10</v>
      </c>
      <c r="F148" s="213">
        <v>0.9</v>
      </c>
      <c r="G148" s="213">
        <f t="shared" ref="G148:G157" si="26">D148/5^2</f>
        <v>0.1</v>
      </c>
      <c r="H148" s="213">
        <f t="shared" ref="H148:H157" si="27">G148*$F148</f>
        <v>9.0000000000000011E-2</v>
      </c>
      <c r="I148" s="213">
        <f>ROUND((G148^2-H148^2)^0.5,3)</f>
        <v>4.3999999999999997E-2</v>
      </c>
      <c r="J148" s="229">
        <f t="shared" ref="J148:J157" si="28">ROUND((K148^2+L148^2)^0.5,2)</f>
        <v>2.5</v>
      </c>
      <c r="K148" s="229">
        <f t="shared" ref="K148:K157" si="29">H148*(5/1)^2</f>
        <v>2.2500000000000004</v>
      </c>
      <c r="L148" s="229">
        <f t="shared" ref="L148:L157" si="30">I148*(5/1)^2</f>
        <v>1.0999999999999999</v>
      </c>
      <c r="M148" s="229">
        <f>J148*1*20</f>
        <v>50</v>
      </c>
      <c r="X148" s="237" t="s">
        <v>439</v>
      </c>
      <c r="Y148" s="237" t="s">
        <v>440</v>
      </c>
    </row>
    <row r="149" spans="1:25">
      <c r="C149" s="230" t="str">
        <f t="shared" ref="C149:C157" si="31">"C "&amp;D149</f>
        <v>C 5</v>
      </c>
      <c r="D149" s="217">
        <v>5</v>
      </c>
      <c r="E149" s="230">
        <f t="shared" si="25"/>
        <v>20</v>
      </c>
      <c r="F149" s="213">
        <v>0.9</v>
      </c>
      <c r="G149" s="213">
        <f t="shared" si="26"/>
        <v>0.2</v>
      </c>
      <c r="H149" s="213">
        <f t="shared" si="27"/>
        <v>0.18000000000000002</v>
      </c>
      <c r="I149" s="213">
        <f t="shared" ref="I149:I151" si="32">ROUND((G149^2-H149^2)^0.5,3)</f>
        <v>8.6999999999999994E-2</v>
      </c>
      <c r="J149" s="229">
        <f t="shared" si="28"/>
        <v>5</v>
      </c>
      <c r="K149" s="229">
        <f t="shared" si="29"/>
        <v>4.5000000000000009</v>
      </c>
      <c r="L149" s="229">
        <f t="shared" si="30"/>
        <v>2.1749999999999998</v>
      </c>
      <c r="M149" s="229">
        <f t="shared" ref="M149:M157" si="33">J149*1*20</f>
        <v>100</v>
      </c>
      <c r="X149" s="237">
        <v>0.6</v>
      </c>
      <c r="Y149" s="237">
        <v>1</v>
      </c>
    </row>
    <row r="150" spans="1:25">
      <c r="C150" s="230" t="str">
        <f t="shared" si="31"/>
        <v>C 12.5</v>
      </c>
      <c r="D150" s="217">
        <v>12.5</v>
      </c>
      <c r="E150" s="230">
        <f t="shared" si="25"/>
        <v>50</v>
      </c>
      <c r="F150" s="213">
        <v>0.9</v>
      </c>
      <c r="G150" s="213">
        <f t="shared" si="26"/>
        <v>0.5</v>
      </c>
      <c r="H150" s="213">
        <f t="shared" si="27"/>
        <v>0.45</v>
      </c>
      <c r="I150" s="213">
        <f t="shared" si="32"/>
        <v>0.218</v>
      </c>
      <c r="J150" s="229">
        <f t="shared" si="28"/>
        <v>12.5</v>
      </c>
      <c r="K150" s="229">
        <f t="shared" si="29"/>
        <v>11.25</v>
      </c>
      <c r="L150" s="229">
        <f t="shared" si="30"/>
        <v>5.45</v>
      </c>
      <c r="M150" s="229">
        <f t="shared" si="33"/>
        <v>250</v>
      </c>
      <c r="X150" s="237">
        <v>0.6</v>
      </c>
      <c r="Y150" s="237">
        <v>1</v>
      </c>
    </row>
    <row r="151" spans="1:25">
      <c r="C151" s="230" t="str">
        <f t="shared" si="31"/>
        <v>C 22.5</v>
      </c>
      <c r="D151" s="217">
        <v>22.5</v>
      </c>
      <c r="E151" s="230">
        <f t="shared" si="25"/>
        <v>90</v>
      </c>
      <c r="F151" s="213">
        <v>0.9</v>
      </c>
      <c r="G151" s="213">
        <f t="shared" si="26"/>
        <v>0.9</v>
      </c>
      <c r="H151" s="213">
        <f t="shared" si="27"/>
        <v>0.81</v>
      </c>
      <c r="I151" s="213">
        <f t="shared" si="32"/>
        <v>0.39200000000000002</v>
      </c>
      <c r="J151" s="229">
        <f t="shared" si="28"/>
        <v>22.5</v>
      </c>
      <c r="K151" s="229">
        <f t="shared" si="29"/>
        <v>20.25</v>
      </c>
      <c r="L151" s="229">
        <f t="shared" si="30"/>
        <v>9.8000000000000007</v>
      </c>
      <c r="M151" s="229">
        <f t="shared" si="33"/>
        <v>450</v>
      </c>
      <c r="X151" s="237">
        <v>0.6</v>
      </c>
      <c r="Y151" s="237">
        <v>1</v>
      </c>
    </row>
    <row r="152" spans="1:25">
      <c r="C152" s="230" t="str">
        <f t="shared" si="31"/>
        <v>C 25</v>
      </c>
      <c r="D152" s="217">
        <v>25</v>
      </c>
      <c r="E152" s="230">
        <f t="shared" si="25"/>
        <v>100</v>
      </c>
      <c r="F152" s="213">
        <v>0.5</v>
      </c>
      <c r="G152" s="213">
        <f t="shared" si="26"/>
        <v>1</v>
      </c>
      <c r="H152" s="213">
        <f t="shared" si="27"/>
        <v>0.5</v>
      </c>
      <c r="I152" s="213">
        <f>ROUND((G152^2-H152^2)^0.5,3)</f>
        <v>0.86599999999999999</v>
      </c>
      <c r="J152" s="229">
        <f t="shared" si="28"/>
        <v>25</v>
      </c>
      <c r="K152" s="229">
        <f t="shared" si="29"/>
        <v>12.5</v>
      </c>
      <c r="L152" s="229">
        <f t="shared" si="30"/>
        <v>21.65</v>
      </c>
      <c r="M152" s="229">
        <f t="shared" si="33"/>
        <v>500</v>
      </c>
      <c r="X152" s="237">
        <v>0.6</v>
      </c>
      <c r="Y152" s="237">
        <v>1</v>
      </c>
    </row>
    <row r="153" spans="1:25">
      <c r="C153" s="230" t="str">
        <f t="shared" si="31"/>
        <v>C 45</v>
      </c>
      <c r="D153" s="217">
        <v>45</v>
      </c>
      <c r="E153" s="230">
        <f t="shared" si="25"/>
        <v>180</v>
      </c>
      <c r="F153" s="213">
        <v>0.9</v>
      </c>
      <c r="G153" s="213">
        <f t="shared" si="26"/>
        <v>1.8</v>
      </c>
      <c r="H153" s="213">
        <f t="shared" si="27"/>
        <v>1.62</v>
      </c>
      <c r="I153" s="213">
        <f>ROUND((G153^2-H153^2)^0.5,3)</f>
        <v>0.78500000000000003</v>
      </c>
      <c r="J153" s="229">
        <f t="shared" si="28"/>
        <v>45</v>
      </c>
      <c r="K153" s="229">
        <f t="shared" si="29"/>
        <v>40.5</v>
      </c>
      <c r="L153" s="229">
        <f t="shared" si="30"/>
        <v>19.625</v>
      </c>
      <c r="M153" s="229">
        <f t="shared" si="33"/>
        <v>900</v>
      </c>
      <c r="X153" s="237">
        <v>0.6</v>
      </c>
      <c r="Y153" s="237">
        <v>1</v>
      </c>
    </row>
    <row r="154" spans="1:25">
      <c r="C154" s="230" t="str">
        <f t="shared" si="31"/>
        <v>C 50</v>
      </c>
      <c r="D154" s="217">
        <v>50</v>
      </c>
      <c r="E154" s="230">
        <f t="shared" si="25"/>
        <v>200</v>
      </c>
      <c r="F154" s="213">
        <v>0.5</v>
      </c>
      <c r="G154" s="213">
        <f t="shared" si="26"/>
        <v>2</v>
      </c>
      <c r="H154" s="213">
        <f t="shared" si="27"/>
        <v>1</v>
      </c>
      <c r="I154" s="213">
        <f>ROUND((G154^2-H154^2)^0.5,3)</f>
        <v>1.732</v>
      </c>
      <c r="J154" s="229">
        <f t="shared" si="28"/>
        <v>50</v>
      </c>
      <c r="K154" s="229">
        <f t="shared" si="29"/>
        <v>25</v>
      </c>
      <c r="L154" s="229">
        <f t="shared" si="30"/>
        <v>43.3</v>
      </c>
      <c r="M154" s="229">
        <f t="shared" si="33"/>
        <v>1000</v>
      </c>
      <c r="X154" s="237">
        <v>0.6</v>
      </c>
      <c r="Y154" s="237">
        <v>1</v>
      </c>
    </row>
    <row r="155" spans="1:25">
      <c r="C155" s="230" t="str">
        <f t="shared" si="31"/>
        <v>C 90</v>
      </c>
      <c r="D155" s="217">
        <v>90</v>
      </c>
      <c r="E155" s="230">
        <f t="shared" si="25"/>
        <v>360</v>
      </c>
      <c r="F155" s="213">
        <v>0.9</v>
      </c>
      <c r="G155" s="213">
        <f t="shared" si="26"/>
        <v>3.6</v>
      </c>
      <c r="H155" s="213">
        <f t="shared" si="27"/>
        <v>3.24</v>
      </c>
      <c r="I155" s="213">
        <f t="shared" ref="I155" si="34">ROUND((G155^2-H155^2)^0.5,3)</f>
        <v>1.569</v>
      </c>
      <c r="J155" s="229">
        <f t="shared" si="28"/>
        <v>90</v>
      </c>
      <c r="K155" s="229">
        <f t="shared" si="29"/>
        <v>81</v>
      </c>
      <c r="L155" s="229">
        <f t="shared" si="30"/>
        <v>39.225000000000001</v>
      </c>
      <c r="M155" s="229">
        <f t="shared" si="33"/>
        <v>1800</v>
      </c>
      <c r="X155" s="237">
        <v>0.6</v>
      </c>
      <c r="Y155" s="237">
        <v>1</v>
      </c>
    </row>
    <row r="156" spans="1:25">
      <c r="C156" s="230" t="str">
        <f t="shared" si="31"/>
        <v>C 100</v>
      </c>
      <c r="D156" s="217">
        <v>100</v>
      </c>
      <c r="E156" s="230">
        <f t="shared" si="25"/>
        <v>400</v>
      </c>
      <c r="F156" s="213">
        <v>0.5</v>
      </c>
      <c r="G156" s="213">
        <f t="shared" si="26"/>
        <v>4</v>
      </c>
      <c r="H156" s="213">
        <f t="shared" si="27"/>
        <v>2</v>
      </c>
      <c r="I156" s="213">
        <f>ROUND((G156^2-H156^2)^0.5,3)</f>
        <v>3.464</v>
      </c>
      <c r="J156" s="229">
        <f t="shared" si="28"/>
        <v>100</v>
      </c>
      <c r="K156" s="229">
        <f t="shared" si="29"/>
        <v>50</v>
      </c>
      <c r="L156" s="229">
        <f t="shared" si="30"/>
        <v>86.6</v>
      </c>
      <c r="M156" s="229">
        <f t="shared" si="33"/>
        <v>2000</v>
      </c>
      <c r="X156" s="237">
        <v>0.6</v>
      </c>
      <c r="Y156" s="237">
        <v>1</v>
      </c>
    </row>
    <row r="157" spans="1:25">
      <c r="C157" s="230" t="str">
        <f t="shared" si="31"/>
        <v>C 200</v>
      </c>
      <c r="D157" s="217">
        <v>200</v>
      </c>
      <c r="E157" s="230">
        <f t="shared" si="25"/>
        <v>800</v>
      </c>
      <c r="F157" s="213">
        <v>0.5</v>
      </c>
      <c r="G157" s="213">
        <f t="shared" si="26"/>
        <v>8</v>
      </c>
      <c r="H157" s="213">
        <f t="shared" si="27"/>
        <v>4</v>
      </c>
      <c r="I157" s="213">
        <f>ROUND((G157^2-H157^2)^0.5,3)</f>
        <v>6.9279999999999999</v>
      </c>
      <c r="J157" s="229">
        <f t="shared" si="28"/>
        <v>200</v>
      </c>
      <c r="K157" s="229">
        <f t="shared" si="29"/>
        <v>100</v>
      </c>
      <c r="L157" s="229">
        <f t="shared" si="30"/>
        <v>173.2</v>
      </c>
      <c r="M157" s="229">
        <f t="shared" si="33"/>
        <v>4000</v>
      </c>
      <c r="X157" s="237">
        <v>0.6</v>
      </c>
      <c r="Y157" s="237">
        <v>1</v>
      </c>
    </row>
    <row r="158" spans="1:25">
      <c r="A158" s="195"/>
      <c r="X158" s="148" t="s">
        <v>483</v>
      </c>
    </row>
    <row r="159" spans="1:25">
      <c r="A159" s="195" t="s">
        <v>423</v>
      </c>
    </row>
    <row r="160" spans="1:25">
      <c r="A160" s="195" t="s">
        <v>474</v>
      </c>
    </row>
    <row r="161" spans="1:14">
      <c r="D161" s="274">
        <v>10</v>
      </c>
      <c r="E161" s="273" t="s">
        <v>597</v>
      </c>
      <c r="F161" s="274">
        <v>100</v>
      </c>
      <c r="G161" s="273" t="s">
        <v>597</v>
      </c>
      <c r="H161" s="215" t="s">
        <v>478</v>
      </c>
      <c r="I161" s="233"/>
    </row>
    <row r="162" spans="1:14">
      <c r="C162" s="217" t="s">
        <v>144</v>
      </c>
      <c r="D162" s="213" t="s">
        <v>241</v>
      </c>
      <c r="E162" s="224" t="s">
        <v>477</v>
      </c>
      <c r="F162" s="213" t="s">
        <v>241</v>
      </c>
      <c r="G162" s="224" t="s">
        <v>477</v>
      </c>
      <c r="H162" s="213" t="s">
        <v>241</v>
      </c>
      <c r="I162" s="224" t="s">
        <v>477</v>
      </c>
    </row>
    <row r="163" spans="1:14">
      <c r="C163" s="217">
        <v>0.3</v>
      </c>
      <c r="D163" s="216">
        <v>0.6</v>
      </c>
      <c r="E163" s="224">
        <v>30</v>
      </c>
      <c r="F163" s="216">
        <v>0.3</v>
      </c>
      <c r="G163" s="224">
        <v>15</v>
      </c>
      <c r="H163" s="216">
        <v>0.3</v>
      </c>
      <c r="I163" s="224">
        <v>15</v>
      </c>
    </row>
    <row r="164" spans="1:14">
      <c r="C164" s="217">
        <v>0.6</v>
      </c>
      <c r="D164" s="216">
        <v>1.2</v>
      </c>
      <c r="E164" s="224">
        <v>60</v>
      </c>
      <c r="F164" s="216">
        <v>0.6</v>
      </c>
      <c r="G164" s="224">
        <v>30</v>
      </c>
      <c r="H164" s="216">
        <v>0.6</v>
      </c>
      <c r="I164" s="224">
        <v>30</v>
      </c>
    </row>
    <row r="165" spans="1:14">
      <c r="C165" s="217">
        <v>1.2</v>
      </c>
      <c r="D165" s="216">
        <v>2.4</v>
      </c>
      <c r="E165" s="224">
        <v>120</v>
      </c>
      <c r="F165" s="216">
        <v>1.2</v>
      </c>
      <c r="G165" s="224">
        <v>60</v>
      </c>
      <c r="H165" s="216">
        <v>1.2</v>
      </c>
      <c r="I165" s="224">
        <v>60</v>
      </c>
    </row>
    <row r="166" spans="1:14">
      <c r="C166" s="217">
        <v>3</v>
      </c>
      <c r="D166" s="222" t="s">
        <v>52</v>
      </c>
      <c r="E166" s="225" t="s">
        <v>52</v>
      </c>
      <c r="F166" s="216">
        <v>3</v>
      </c>
      <c r="G166" s="225" t="s">
        <v>52</v>
      </c>
      <c r="H166" s="216">
        <v>3</v>
      </c>
      <c r="I166" s="225" t="s">
        <v>52</v>
      </c>
    </row>
    <row r="167" spans="1:14">
      <c r="A167" s="195"/>
      <c r="C167" t="s">
        <v>482</v>
      </c>
    </row>
    <row r="168" spans="1:14">
      <c r="A168" s="195"/>
    </row>
    <row r="169" spans="1:14">
      <c r="A169" s="195" t="s">
        <v>427</v>
      </c>
    </row>
    <row r="170" spans="1:14">
      <c r="A170" s="195" t="s">
        <v>434</v>
      </c>
      <c r="D170" s="212" t="s">
        <v>433</v>
      </c>
      <c r="F170" t="s">
        <v>428</v>
      </c>
      <c r="G170" s="212" t="s">
        <v>432</v>
      </c>
      <c r="N170" t="s">
        <v>435</v>
      </c>
    </row>
    <row r="171" spans="1:14">
      <c r="D171" s="274">
        <v>100</v>
      </c>
      <c r="E171" s="273" t="s">
        <v>597</v>
      </c>
      <c r="F171" s="215" t="s">
        <v>478</v>
      </c>
      <c r="G171" s="233"/>
      <c r="I171" s="226" t="s">
        <v>431</v>
      </c>
      <c r="L171" s="213" t="s">
        <v>241</v>
      </c>
      <c r="M171" s="213" t="s">
        <v>430</v>
      </c>
      <c r="N171" s="213" t="s">
        <v>165</v>
      </c>
    </row>
    <row r="172" spans="1:14">
      <c r="C172" s="217" t="s">
        <v>144</v>
      </c>
      <c r="D172" s="213" t="s">
        <v>241</v>
      </c>
      <c r="E172" s="224" t="s">
        <v>477</v>
      </c>
      <c r="F172" s="213" t="s">
        <v>241</v>
      </c>
      <c r="G172" s="224" t="s">
        <v>477</v>
      </c>
      <c r="L172" s="213">
        <v>5</v>
      </c>
      <c r="N172" s="213">
        <v>20</v>
      </c>
    </row>
    <row r="173" spans="1:14">
      <c r="C173" s="217" t="str">
        <f>L31&amp;"B tensão"</f>
        <v>5B tensão</v>
      </c>
      <c r="D173" s="216">
        <v>5</v>
      </c>
      <c r="E173" s="228" t="s">
        <v>52</v>
      </c>
      <c r="F173" s="216">
        <f>L$31</f>
        <v>5</v>
      </c>
      <c r="G173" s="228" t="s">
        <v>52</v>
      </c>
      <c r="L173" s="213">
        <v>10</v>
      </c>
    </row>
    <row r="174" spans="1:14">
      <c r="A174" s="195"/>
      <c r="C174" s="217" t="str">
        <f>L32&amp;"B tensão"</f>
        <v>10B tensão</v>
      </c>
      <c r="D174" s="216">
        <v>10</v>
      </c>
      <c r="E174" s="228" t="s">
        <v>52</v>
      </c>
      <c r="F174" s="216">
        <v>10</v>
      </c>
      <c r="G174" s="228" t="s">
        <v>52</v>
      </c>
    </row>
    <row r="175" spans="1:14">
      <c r="A175" s="195"/>
      <c r="C175" t="s">
        <v>484</v>
      </c>
    </row>
    <row r="176" spans="1:14">
      <c r="A176" s="195"/>
    </row>
    <row r="177" spans="1:12">
      <c r="A177" s="195"/>
      <c r="C177" t="s">
        <v>489</v>
      </c>
    </row>
    <row r="178" spans="1:12">
      <c r="A178" s="195"/>
      <c r="C178" t="s">
        <v>494</v>
      </c>
      <c r="F178" s="241" t="s">
        <v>491</v>
      </c>
      <c r="G178" s="226">
        <v>100</v>
      </c>
    </row>
    <row r="179" spans="1:12">
      <c r="A179" s="195"/>
      <c r="C179" t="s">
        <v>490</v>
      </c>
      <c r="D179">
        <f>G178</f>
        <v>100</v>
      </c>
      <c r="E179" t="s">
        <v>164</v>
      </c>
    </row>
    <row r="180" spans="1:12">
      <c r="B180" s="88"/>
      <c r="C180" s="97" t="s">
        <v>163</v>
      </c>
      <c r="D180" s="211">
        <f>D179/20/1</f>
        <v>5</v>
      </c>
      <c r="E180" s="244" t="s">
        <v>495</v>
      </c>
      <c r="F180" s="88"/>
      <c r="G180" s="88"/>
      <c r="H180" s="88"/>
      <c r="I180" s="88"/>
      <c r="J180" s="88"/>
      <c r="K180" s="88"/>
      <c r="L180" s="88"/>
    </row>
    <row r="181" spans="1:12" ht="18">
      <c r="B181" s="88"/>
      <c r="C181" t="s">
        <v>496</v>
      </c>
      <c r="D181">
        <f>D180/1^2</f>
        <v>5</v>
      </c>
      <c r="E181" s="218" t="s">
        <v>497</v>
      </c>
      <c r="F181" s="88"/>
      <c r="G181" s="88"/>
      <c r="H181" s="88"/>
      <c r="I181" s="88"/>
      <c r="J181" s="88"/>
      <c r="K181" s="88"/>
      <c r="L181" s="88"/>
    </row>
    <row r="182" spans="1:12">
      <c r="C182" s="97" t="s">
        <v>162</v>
      </c>
      <c r="D182" s="211">
        <v>0.9</v>
      </c>
      <c r="E182" s="88"/>
    </row>
    <row r="183" spans="1:12">
      <c r="C183" t="s">
        <v>492</v>
      </c>
      <c r="D183">
        <f>D180*D182</f>
        <v>4.5</v>
      </c>
      <c r="E183" s="244" t="s">
        <v>166</v>
      </c>
    </row>
    <row r="184" spans="1:12">
      <c r="C184" t="s">
        <v>493</v>
      </c>
      <c r="D184">
        <f>ROUND((D180^2-D183^2)^0.5,3)</f>
        <v>2.1789999999999998</v>
      </c>
      <c r="E184" s="244" t="s">
        <v>166</v>
      </c>
    </row>
    <row r="188" spans="1:12" ht="23.25">
      <c r="A188" s="227" t="s">
        <v>583</v>
      </c>
    </row>
    <row r="190" spans="1:12" ht="17.25" thickBot="1">
      <c r="E190" s="212" t="s">
        <v>567</v>
      </c>
      <c r="H190" s="212" t="s">
        <v>567</v>
      </c>
    </row>
    <row r="191" spans="1:12" ht="17.25" thickBot="1">
      <c r="A191" s="260" t="s">
        <v>151</v>
      </c>
      <c r="B191" s="260"/>
      <c r="C191" s="260"/>
      <c r="D191" s="195" t="s">
        <v>136</v>
      </c>
      <c r="E191" s="265" t="s">
        <v>573</v>
      </c>
      <c r="F191" s="261" t="s">
        <v>568</v>
      </c>
      <c r="H191" s="265" t="s">
        <v>571</v>
      </c>
      <c r="I191" t="s">
        <v>39</v>
      </c>
    </row>
    <row r="192" spans="1:12" ht="17.25" thickBot="1">
      <c r="A192" s="260"/>
      <c r="B192" s="260"/>
      <c r="C192" s="260"/>
      <c r="D192" s="195" t="s">
        <v>135</v>
      </c>
      <c r="E192" s="259" t="s">
        <v>569</v>
      </c>
      <c r="F192" t="s">
        <v>570</v>
      </c>
      <c r="H192" s="259" t="s">
        <v>571</v>
      </c>
      <c r="I192" t="s">
        <v>39</v>
      </c>
    </row>
    <row r="193" spans="1:10" ht="17.25" thickBot="1">
      <c r="A193" s="260"/>
      <c r="B193" s="260"/>
      <c r="C193" s="260"/>
      <c r="D193" s="195"/>
      <c r="E193" s="212" t="s">
        <v>567</v>
      </c>
      <c r="H193" s="212" t="s">
        <v>567</v>
      </c>
    </row>
    <row r="194" spans="1:10" ht="17.25" thickBot="1">
      <c r="A194" s="260" t="s">
        <v>437</v>
      </c>
      <c r="B194" s="260"/>
      <c r="C194" s="260"/>
      <c r="D194" s="195" t="s">
        <v>136</v>
      </c>
      <c r="E194" s="265" t="s">
        <v>572</v>
      </c>
      <c r="F194" s="261" t="s">
        <v>568</v>
      </c>
      <c r="H194" s="265" t="s">
        <v>574</v>
      </c>
      <c r="I194" t="s">
        <v>591</v>
      </c>
    </row>
    <row r="195" spans="1:10" ht="17.25" thickBot="1">
      <c r="A195" s="260"/>
      <c r="B195" s="260"/>
      <c r="C195" s="260"/>
      <c r="D195" s="195" t="s">
        <v>135</v>
      </c>
      <c r="E195" s="259" t="s">
        <v>72</v>
      </c>
      <c r="F195" t="s">
        <v>576</v>
      </c>
      <c r="H195" s="259">
        <v>400</v>
      </c>
      <c r="I195" t="s">
        <v>590</v>
      </c>
    </row>
    <row r="196" spans="1:10" ht="17.25" thickBot="1">
      <c r="A196" s="260"/>
      <c r="B196" s="260"/>
      <c r="C196" s="260"/>
      <c r="D196" s="195"/>
      <c r="E196" s="212" t="s">
        <v>567</v>
      </c>
      <c r="H196" s="212" t="s">
        <v>567</v>
      </c>
    </row>
    <row r="197" spans="1:10" ht="17.25" thickBot="1">
      <c r="A197" s="260" t="s">
        <v>469</v>
      </c>
      <c r="B197" s="260"/>
      <c r="C197" s="260"/>
      <c r="D197" s="195" t="s">
        <v>136</v>
      </c>
      <c r="E197" s="265" t="s">
        <v>577</v>
      </c>
      <c r="F197" s="261" t="s">
        <v>568</v>
      </c>
      <c r="H197" s="265" t="s">
        <v>578</v>
      </c>
      <c r="I197" t="s">
        <v>579</v>
      </c>
    </row>
    <row r="198" spans="1:10" ht="17.25" thickBot="1">
      <c r="A198" s="260"/>
      <c r="B198" s="260"/>
      <c r="C198" s="260"/>
      <c r="D198" s="195" t="s">
        <v>135</v>
      </c>
      <c r="E198" s="259" t="s">
        <v>569</v>
      </c>
      <c r="F198" t="s">
        <v>570</v>
      </c>
      <c r="H198" s="259" t="s">
        <v>578</v>
      </c>
      <c r="I198" t="s">
        <v>579</v>
      </c>
    </row>
    <row r="199" spans="1:10" ht="17.25" thickBot="1">
      <c r="A199" s="260"/>
      <c r="B199" s="260"/>
      <c r="C199" s="260"/>
      <c r="D199" s="195"/>
      <c r="E199" s="212" t="s">
        <v>567</v>
      </c>
      <c r="H199" s="212" t="s">
        <v>567</v>
      </c>
    </row>
    <row r="200" spans="1:10" ht="17.25" thickBot="1">
      <c r="A200" s="260" t="s">
        <v>481</v>
      </c>
      <c r="B200" s="260"/>
      <c r="C200" s="260"/>
      <c r="D200" s="195" t="s">
        <v>136</v>
      </c>
      <c r="E200" s="265" t="s">
        <v>577</v>
      </c>
      <c r="F200" s="261" t="s">
        <v>568</v>
      </c>
      <c r="H200" s="265" t="s">
        <v>580</v>
      </c>
      <c r="I200" t="s">
        <v>581</v>
      </c>
    </row>
    <row r="201" spans="1:10" ht="17.25" thickBot="1">
      <c r="A201" s="260"/>
      <c r="B201" s="260"/>
      <c r="C201" s="260"/>
      <c r="D201" s="195" t="s">
        <v>135</v>
      </c>
      <c r="E201" s="259" t="s">
        <v>491</v>
      </c>
      <c r="F201" t="s">
        <v>582</v>
      </c>
      <c r="H201" s="259">
        <v>400</v>
      </c>
      <c r="I201" t="s">
        <v>588</v>
      </c>
    </row>
    <row r="203" spans="1:10" ht="17.25" thickBot="1"/>
    <row r="204" spans="1:10">
      <c r="E204" s="266" t="s">
        <v>568</v>
      </c>
      <c r="H204" s="266" t="s">
        <v>39</v>
      </c>
    </row>
    <row r="205" spans="1:10">
      <c r="D205" s="195" t="s">
        <v>136</v>
      </c>
      <c r="E205" s="267"/>
      <c r="H205" s="267" t="s">
        <v>575</v>
      </c>
      <c r="J205" t="s">
        <v>589</v>
      </c>
    </row>
    <row r="206" spans="1:10" ht="17.25" thickBot="1">
      <c r="A206" s="260" t="s">
        <v>586</v>
      </c>
      <c r="E206" s="268"/>
      <c r="H206" s="268" t="s">
        <v>581</v>
      </c>
    </row>
    <row r="207" spans="1:10">
      <c r="E207" s="262" t="s">
        <v>569</v>
      </c>
      <c r="H207" s="262" t="s">
        <v>39</v>
      </c>
    </row>
    <row r="208" spans="1:10">
      <c r="D208" s="195" t="s">
        <v>135</v>
      </c>
      <c r="E208" s="263" t="s">
        <v>72</v>
      </c>
      <c r="H208" s="263" t="s">
        <v>587</v>
      </c>
    </row>
    <row r="209" spans="1:12" ht="17.25" thickBot="1">
      <c r="E209" s="264" t="s">
        <v>491</v>
      </c>
      <c r="H209" s="264"/>
    </row>
    <row r="213" spans="1:12" ht="23.25">
      <c r="A213" s="227" t="s">
        <v>596</v>
      </c>
    </row>
    <row r="215" spans="1:12">
      <c r="F215" s="212"/>
    </row>
    <row r="216" spans="1:12">
      <c r="A216" s="203" t="s">
        <v>610</v>
      </c>
      <c r="B216" s="203"/>
      <c r="C216" s="203"/>
      <c r="D216" s="203"/>
      <c r="E216" s="203"/>
      <c r="F216" s="272"/>
      <c r="G216" s="272"/>
      <c r="H216" s="272"/>
      <c r="I216" s="272"/>
      <c r="J216" s="272"/>
      <c r="K216" s="272"/>
    </row>
    <row r="217" spans="1:12">
      <c r="A217">
        <v>1</v>
      </c>
      <c r="B217" s="261" t="s">
        <v>601</v>
      </c>
      <c r="F217" s="212">
        <f>L15</f>
        <v>100</v>
      </c>
      <c r="G217" s="212">
        <v>5</v>
      </c>
      <c r="H217" s="212">
        <f>H15</f>
        <v>20</v>
      </c>
      <c r="I217" s="212">
        <f>N15</f>
        <v>120</v>
      </c>
      <c r="J217" s="212">
        <f>IF(TC_cálculo!$Q$7=1,0,100*TC_cálculo!$Q$7)</f>
        <v>200</v>
      </c>
      <c r="K217" s="212"/>
      <c r="L217" s="212"/>
    </row>
    <row r="218" spans="1:12">
      <c r="A218">
        <f>A217+1</f>
        <v>2</v>
      </c>
      <c r="B218" s="261" t="s">
        <v>600</v>
      </c>
      <c r="F218" s="212">
        <f>L15</f>
        <v>100</v>
      </c>
      <c r="G218" s="212">
        <f>D15</f>
        <v>1</v>
      </c>
      <c r="H218" s="212">
        <f>F15</f>
        <v>5</v>
      </c>
      <c r="I218" s="212">
        <f>H15</f>
        <v>20</v>
      </c>
      <c r="J218" s="212">
        <f>N15</f>
        <v>120</v>
      </c>
      <c r="K218" s="212">
        <f>IF(TC_cálculo!$Q$7=1,0,100*TC_cálculo!$Q$7)</f>
        <v>200</v>
      </c>
    </row>
    <row r="219" spans="1:12">
      <c r="A219">
        <f t="shared" ref="A219:A226" si="35">A218+1</f>
        <v>3</v>
      </c>
      <c r="B219" s="261" t="s">
        <v>599</v>
      </c>
      <c r="F219" s="212">
        <f>J15</f>
        <v>50</v>
      </c>
      <c r="G219" s="212">
        <f>N15</f>
        <v>120</v>
      </c>
      <c r="H219" s="212">
        <f>IF(TC_cálculo!$Q$7=1,0,100*TC_cálculo!$Q$7)</f>
        <v>200</v>
      </c>
      <c r="I219" s="212"/>
      <c r="J219" s="212"/>
      <c r="K219" s="212"/>
    </row>
    <row r="220" spans="1:12">
      <c r="A220" s="203">
        <f t="shared" si="35"/>
        <v>4</v>
      </c>
      <c r="B220" s="278" t="s">
        <v>598</v>
      </c>
      <c r="C220" s="203"/>
      <c r="D220" s="203"/>
      <c r="E220" s="203"/>
      <c r="F220" s="272">
        <f>D30</f>
        <v>100</v>
      </c>
      <c r="G220" s="272" t="e">
        <f>100*TC_cálculo!$O$9</f>
        <v>#VALUE!</v>
      </c>
      <c r="H220" s="272" t="e">
        <f>IF(TC_cálculo!$Q$7=1,0,100*TC_cálculo!$Q$7*TC_cálculo!$O$9)</f>
        <v>#VALUE!</v>
      </c>
      <c r="I220" s="272"/>
      <c r="J220" s="272"/>
      <c r="K220" s="272"/>
    </row>
    <row r="221" spans="1:12">
      <c r="A221">
        <f t="shared" si="35"/>
        <v>5</v>
      </c>
      <c r="B221" s="261" t="s">
        <v>603</v>
      </c>
      <c r="F221" s="212">
        <f>H50</f>
        <v>100</v>
      </c>
      <c r="G221" s="212">
        <f>IF(OR(O229="0.15S",O229=0.15,O229="0.3S"),D50,F50)</f>
        <v>10</v>
      </c>
      <c r="H221" s="212">
        <f>IF(TC_cálculo!$Q$7=1,0,100*TC_cálculo!$Q$7)</f>
        <v>200</v>
      </c>
      <c r="J221" s="212"/>
      <c r="K221" s="212"/>
    </row>
    <row r="222" spans="1:12">
      <c r="A222" s="203">
        <f t="shared" si="35"/>
        <v>6</v>
      </c>
      <c r="B222" s="278" t="s">
        <v>602</v>
      </c>
      <c r="C222" s="203"/>
      <c r="D222" s="203"/>
      <c r="E222" s="203"/>
      <c r="F222" s="272">
        <f>D74</f>
        <v>100</v>
      </c>
      <c r="G222" s="272" t="e">
        <f>100*TC_cálculo!$O$9</f>
        <v>#VALUE!</v>
      </c>
      <c r="H222" s="272" t="e">
        <f>IF(TC_cálculo!$Q$7=1,0,100*TC_cálculo!$Q$7*TC_cálculo!$O$9)</f>
        <v>#VALUE!</v>
      </c>
      <c r="I222" s="272"/>
      <c r="J222" s="272"/>
      <c r="K222" s="272"/>
    </row>
    <row r="223" spans="1:12">
      <c r="A223">
        <f t="shared" si="35"/>
        <v>7</v>
      </c>
      <c r="B223" s="261" t="s">
        <v>604</v>
      </c>
      <c r="F223" s="212">
        <f>J117</f>
        <v>100</v>
      </c>
      <c r="G223" s="212">
        <f>IF($O$229=3,0,IF(RIGHT(O229,1)="S",5,10))</f>
        <v>10</v>
      </c>
      <c r="H223" s="212">
        <f>IF($O$229=3,0,IF(RIGHT($O$229,1)="S",20,0))</f>
        <v>0</v>
      </c>
      <c r="I223" s="212">
        <f>IF(TC_cálculo!$Q$7=1,0,100*TC_cálculo!$Q$7)</f>
        <v>200</v>
      </c>
      <c r="J223" s="212"/>
      <c r="K223" s="212"/>
    </row>
    <row r="224" spans="1:12">
      <c r="A224" s="203">
        <f t="shared" si="35"/>
        <v>8</v>
      </c>
      <c r="B224" s="278" t="s">
        <v>605</v>
      </c>
      <c r="C224" s="203"/>
      <c r="D224" s="203"/>
      <c r="E224" s="203"/>
      <c r="F224" s="272">
        <f>D129</f>
        <v>100</v>
      </c>
      <c r="G224" s="272" t="e">
        <f>100*TC_cálculo!$O$9</f>
        <v>#VALUE!</v>
      </c>
      <c r="H224" s="272" t="e">
        <f>IF(TC_cálculo!$Q$7=1,0,100*TC_cálculo!$Q$7*TC_cálculo!$O$9)</f>
        <v>#VALUE!</v>
      </c>
      <c r="I224" s="272"/>
      <c r="J224" s="272"/>
      <c r="K224" s="272"/>
    </row>
    <row r="225" spans="1:15">
      <c r="A225">
        <f t="shared" si="35"/>
        <v>9</v>
      </c>
      <c r="B225" s="261" t="s">
        <v>606</v>
      </c>
      <c r="F225" s="212">
        <f>F161</f>
        <v>100</v>
      </c>
      <c r="G225" s="212">
        <f>IF($O$229=3,0,D161)</f>
        <v>10</v>
      </c>
      <c r="H225" s="212">
        <f>IF(TC_cálculo!$Q$7=1,0,100*TC_cálculo!$Q$7)</f>
        <v>200</v>
      </c>
      <c r="I225" s="212"/>
      <c r="J225" s="212"/>
      <c r="K225" s="212"/>
    </row>
    <row r="226" spans="1:15">
      <c r="A226" s="203">
        <f t="shared" si="35"/>
        <v>10</v>
      </c>
      <c r="B226" s="278" t="s">
        <v>607</v>
      </c>
      <c r="C226" s="203"/>
      <c r="D226" s="203"/>
      <c r="E226" s="203"/>
      <c r="F226" s="272">
        <f>D171</f>
        <v>100</v>
      </c>
      <c r="G226" s="272" t="e">
        <f>100*TC_cálculo!$O$9</f>
        <v>#VALUE!</v>
      </c>
      <c r="H226" s="272" t="e">
        <f>IF(TC_cálculo!$Q$7=1,0,100*TC_cálculo!$Q$7*TC_cálculo!$O$9)</f>
        <v>#VALUE!</v>
      </c>
      <c r="I226" s="272"/>
      <c r="J226" s="272"/>
      <c r="K226" s="272"/>
      <c r="O226">
        <f>IF(O229=0.15,2,0)</f>
        <v>0</v>
      </c>
    </row>
    <row r="228" spans="1:15">
      <c r="A228" s="203" t="s">
        <v>611</v>
      </c>
      <c r="B228" s="203"/>
      <c r="C228" s="203"/>
      <c r="D228" s="203"/>
      <c r="E228" s="203"/>
      <c r="F228" s="272"/>
      <c r="G228" s="272"/>
      <c r="H228" s="272"/>
      <c r="I228" s="272"/>
      <c r="J228" s="272"/>
      <c r="K228" s="272"/>
    </row>
    <row r="229" spans="1:15">
      <c r="A229">
        <v>1</v>
      </c>
      <c r="B229" s="261" t="s">
        <v>601</v>
      </c>
      <c r="F229" s="212">
        <f>VLOOKUP($O$229,$C$17:$T$24,10)</f>
        <v>0.2</v>
      </c>
      <c r="G229" s="212">
        <f>VLOOKUP($O$229,$C$17:$T$24,4)</f>
        <v>0.75</v>
      </c>
      <c r="H229" s="212">
        <f>VLOOKUP($O$229,$C$17:$T$24,6)</f>
        <v>0.35</v>
      </c>
      <c r="I229" s="212">
        <f>VLOOKUP($O$229,$C$17:$T$24,12)</f>
        <v>0.2</v>
      </c>
      <c r="J229" s="212">
        <f>VLOOKUP($O$229,$C$17:$T$24,14)</f>
        <v>0.2</v>
      </c>
      <c r="K229" s="212"/>
      <c r="O229">
        <f>VLOOKUP(TC_cálculo!CC13,TC_cálculo!CB2:CC12,2)</f>
        <v>0.3</v>
      </c>
    </row>
    <row r="230" spans="1:15">
      <c r="A230">
        <f>A229+1</f>
        <v>2</v>
      </c>
      <c r="B230" s="261" t="s">
        <v>600</v>
      </c>
      <c r="F230" s="212">
        <f>VLOOKUP($O$229,$C$17:$T$24,10)</f>
        <v>0.2</v>
      </c>
      <c r="G230" s="212" t="str">
        <f>VLOOKUP($O$229,$C$17:$T$24,2)</f>
        <v>--</v>
      </c>
      <c r="H230" s="212">
        <f>VLOOKUP($O$229,$C$17:$T$24,4)</f>
        <v>0.75</v>
      </c>
      <c r="I230" s="212">
        <f>VLOOKUP($O$229,$C$17:$T$24,6)</f>
        <v>0.35</v>
      </c>
      <c r="J230" s="212">
        <f>VLOOKUP($O$229,$C$17:$T$24,12)</f>
        <v>0.2</v>
      </c>
      <c r="K230" s="212">
        <f>VLOOKUP($O$229,$C$17:$T$24,14)</f>
        <v>0.2</v>
      </c>
    </row>
    <row r="231" spans="1:15">
      <c r="A231">
        <f t="shared" ref="A231:A238" si="36">A230+1</f>
        <v>3</v>
      </c>
      <c r="B231" s="261" t="s">
        <v>599</v>
      </c>
      <c r="F231" s="212" t="str">
        <f>VLOOKUP($O$229,$C$17:$T$24,8)</f>
        <v>--</v>
      </c>
      <c r="G231" s="212">
        <f>VLOOKUP($O$229,$C$17:$T$24,12)</f>
        <v>0.2</v>
      </c>
      <c r="H231" s="212">
        <f>VLOOKUP($O$229,$C$17:$T$24,14)</f>
        <v>0.2</v>
      </c>
      <c r="I231" s="212"/>
      <c r="J231" s="212"/>
      <c r="K231" s="212"/>
    </row>
    <row r="232" spans="1:15">
      <c r="A232" s="203">
        <f t="shared" si="36"/>
        <v>4</v>
      </c>
      <c r="B232" s="278" t="s">
        <v>598</v>
      </c>
      <c r="C232" s="203"/>
      <c r="D232" s="203"/>
      <c r="E232" s="203"/>
      <c r="F232" s="272">
        <f>IF(LEFT($O$229,1)="5",1,3)</f>
        <v>3</v>
      </c>
      <c r="G232" s="272">
        <f>IF(LEFT($O$229,1)="5",5,10)</f>
        <v>10</v>
      </c>
      <c r="H232" s="272">
        <f>G232</f>
        <v>10</v>
      </c>
      <c r="I232" s="272"/>
      <c r="J232" s="272"/>
      <c r="K232" s="272"/>
    </row>
    <row r="233" spans="1:15">
      <c r="A233">
        <f t="shared" si="36"/>
        <v>5</v>
      </c>
      <c r="B233" s="261" t="s">
        <v>603</v>
      </c>
      <c r="F233" s="212">
        <f>VLOOKUP($O$229,$C$52:$K$58,6)</f>
        <v>0.3</v>
      </c>
      <c r="G233" s="212">
        <f>VLOOKUP($O$229,$C$52:$K$58,IF(OR($O$229="0.15S",$O$229=0.15,$O$229="0.3S"),2,4))</f>
        <v>0.6</v>
      </c>
      <c r="H233" s="212">
        <f>VLOOKUP($O$229,$C$52:$K$58,8)</f>
        <v>0.3</v>
      </c>
      <c r="I233" s="212"/>
      <c r="J233" s="212"/>
      <c r="K233" s="212"/>
    </row>
    <row r="234" spans="1:15">
      <c r="A234" s="203">
        <f t="shared" si="36"/>
        <v>6</v>
      </c>
      <c r="B234" s="278" t="s">
        <v>602</v>
      </c>
      <c r="C234" s="203"/>
      <c r="D234" s="203"/>
      <c r="E234" s="203"/>
      <c r="F234" s="272">
        <f>D76</f>
        <v>3</v>
      </c>
      <c r="G234" s="272">
        <f>F76</f>
        <v>10</v>
      </c>
      <c r="H234" s="272">
        <f>G234</f>
        <v>10</v>
      </c>
      <c r="I234" s="272"/>
      <c r="J234" s="272"/>
      <c r="K234" s="272"/>
    </row>
    <row r="235" spans="1:15">
      <c r="A235">
        <f t="shared" si="36"/>
        <v>7</v>
      </c>
      <c r="B235" s="261" t="s">
        <v>604</v>
      </c>
      <c r="F235" s="212">
        <f>VLOOKUP($O$229,$C$119:$M$124,8)</f>
        <v>0.3</v>
      </c>
      <c r="G235" s="212">
        <f>IF($O$229=3,0,VLOOKUP($O$229,$C$119:$M$124,IF(OR($O$229=0.3,$O$229=0.6,$O$229=1.2),4,2)))</f>
        <v>0.6</v>
      </c>
      <c r="H235" s="212">
        <f>IF($O$229=3,0,IF(RIGHT($O$229,1)="S",VLOOKUP($O$229,$C$119:$M$124,6),0))</f>
        <v>0</v>
      </c>
      <c r="I235" s="212">
        <f>VLOOKUP($O$229,$C$119:$M$124,10)</f>
        <v>0.3</v>
      </c>
      <c r="J235" s="212"/>
      <c r="K235" s="212"/>
    </row>
    <row r="236" spans="1:15">
      <c r="A236" s="203">
        <f t="shared" si="36"/>
        <v>8</v>
      </c>
      <c r="B236" s="278" t="s">
        <v>605</v>
      </c>
      <c r="C236" s="203"/>
      <c r="D236" s="203"/>
      <c r="E236" s="203"/>
      <c r="F236" s="272">
        <f>IF(LEFT($O$229,1)="5",1,3)</f>
        <v>3</v>
      </c>
      <c r="G236" s="272">
        <f>IF(LEFT($O$229,1)="5",5,10)</f>
        <v>10</v>
      </c>
      <c r="H236" s="272">
        <f>G232</f>
        <v>10</v>
      </c>
      <c r="I236" s="272"/>
      <c r="J236" s="272"/>
      <c r="K236" s="272"/>
    </row>
    <row r="237" spans="1:15">
      <c r="A237">
        <f t="shared" si="36"/>
        <v>9</v>
      </c>
      <c r="B237" s="261" t="s">
        <v>606</v>
      </c>
      <c r="F237" s="212">
        <f>VLOOKUP($O$229,$C$163:$I$166,4)</f>
        <v>0.3</v>
      </c>
      <c r="G237" s="212">
        <f>IF($O$229=3,0,VLOOKUP($O$229,$C$163:$I$166,2))</f>
        <v>0.6</v>
      </c>
      <c r="H237" s="212">
        <f>VLOOKUP($O$229,$C$163:$I$166,6)</f>
        <v>0.3</v>
      </c>
      <c r="I237" s="212"/>
      <c r="J237" s="212"/>
      <c r="K237" s="212"/>
    </row>
    <row r="238" spans="1:15">
      <c r="A238" s="203">
        <f t="shared" si="36"/>
        <v>10</v>
      </c>
      <c r="B238" s="278" t="s">
        <v>607</v>
      </c>
      <c r="C238" s="203"/>
      <c r="D238" s="203"/>
      <c r="E238" s="203"/>
      <c r="F238" s="272">
        <f>IF(LEFT($O$229,1)="5",5,10)</f>
        <v>10</v>
      </c>
      <c r="G238" s="272">
        <f>F238</f>
        <v>10</v>
      </c>
      <c r="H238" s="272">
        <f>IF(TC_cálculo!$Q$7=1,0,F238)</f>
        <v>10</v>
      </c>
      <c r="I238" s="272"/>
      <c r="J238" s="272"/>
      <c r="K238" s="272"/>
    </row>
    <row r="240" spans="1:15">
      <c r="A240" s="203" t="s">
        <v>612</v>
      </c>
      <c r="B240" s="203"/>
      <c r="C240" s="203"/>
      <c r="D240" s="203"/>
      <c r="E240" s="203"/>
      <c r="F240" s="272"/>
      <c r="G240" s="272"/>
      <c r="H240" s="272"/>
      <c r="I240" s="272"/>
      <c r="J240" s="272"/>
      <c r="K240" s="272"/>
    </row>
    <row r="241" spans="1:11">
      <c r="A241">
        <v>1</v>
      </c>
      <c r="B241" s="261" t="s">
        <v>601</v>
      </c>
      <c r="F241" s="212">
        <f>VLOOKUP($O$229,$C$17:$T$24,11)</f>
        <v>10</v>
      </c>
      <c r="G241" s="212">
        <f>VLOOKUP($O$229,$C$17:$T$24,5)</f>
        <v>30</v>
      </c>
      <c r="H241" s="212">
        <f>VLOOKUP($O$229,$C$17:$T$24,7)</f>
        <v>15</v>
      </c>
      <c r="I241" s="212">
        <f>VLOOKUP($O$229,$C$17:$T$24,13)</f>
        <v>10</v>
      </c>
      <c r="J241" s="212">
        <f>VLOOKUP($O$229,$C$17:$T$24,15)</f>
        <v>10</v>
      </c>
      <c r="K241" s="212"/>
    </row>
    <row r="242" spans="1:11">
      <c r="A242">
        <f>A241+1</f>
        <v>2</v>
      </c>
      <c r="B242" s="261" t="s">
        <v>600</v>
      </c>
      <c r="F242" s="212">
        <f>VLOOKUP($O$229,$C$17:$T$24,11)</f>
        <v>10</v>
      </c>
      <c r="G242" s="212" t="str">
        <f>VLOOKUP($O$229,$C$17:$T$24,3)</f>
        <v>--</v>
      </c>
      <c r="H242" s="212">
        <f>VLOOKUP($O$229,$C$17:$T$24,5)</f>
        <v>30</v>
      </c>
      <c r="I242" s="212">
        <f>VLOOKUP($O$229,$C$17:$T$24,7)</f>
        <v>15</v>
      </c>
      <c r="J242" s="212">
        <f>VLOOKUP($O$229,$C$17:$T$24,13)</f>
        <v>10</v>
      </c>
      <c r="K242" s="212">
        <f>VLOOKUP($O$229,$C$17:$T$24,15)</f>
        <v>10</v>
      </c>
    </row>
    <row r="243" spans="1:11">
      <c r="A243">
        <f t="shared" ref="A243:A250" si="37">A242+1</f>
        <v>3</v>
      </c>
      <c r="B243" s="261" t="s">
        <v>599</v>
      </c>
      <c r="F243" s="212" t="str">
        <f>VLOOKUP($O$229,$C$17:$T$24,9)</f>
        <v>--</v>
      </c>
      <c r="G243" s="212">
        <f>VLOOKUP($O$229,$C$17:$T$24,13)</f>
        <v>10</v>
      </c>
      <c r="H243" s="212">
        <f>VLOOKUP($O$229,$C$17:$T$24,15)</f>
        <v>10</v>
      </c>
      <c r="I243" s="212"/>
      <c r="J243" s="212"/>
      <c r="K243" s="212"/>
    </row>
    <row r="244" spans="1:11">
      <c r="A244" s="203">
        <f t="shared" si="37"/>
        <v>4</v>
      </c>
      <c r="B244" s="278" t="s">
        <v>598</v>
      </c>
      <c r="C244" s="203"/>
      <c r="D244" s="203"/>
      <c r="E244" s="203"/>
      <c r="F244" s="272" t="str">
        <f>IF(LEFT($O$229,1)="5",60,"--")</f>
        <v>--</v>
      </c>
      <c r="G244" s="280" t="s">
        <v>52</v>
      </c>
      <c r="H244" s="272" t="str">
        <f>G244</f>
        <v>--</v>
      </c>
      <c r="I244" s="272"/>
      <c r="J244" s="272"/>
      <c r="K244" s="272"/>
    </row>
    <row r="245" spans="1:11">
      <c r="A245">
        <f t="shared" si="37"/>
        <v>5</v>
      </c>
      <c r="B245" s="261" t="s">
        <v>603</v>
      </c>
      <c r="F245" s="212">
        <f>VLOOKUP($O$229,$C$52:$K$58,7)</f>
        <v>15</v>
      </c>
      <c r="G245" s="212">
        <f>VLOOKUP($O$229,$C$52:$K$58,IF(OR($O$229="0.15S",$O$229=0.15,$O$229="0.3S"),3,5))</f>
        <v>30</v>
      </c>
      <c r="H245" s="212">
        <f>VLOOKUP($O$229,$C$52:$K$58,9)</f>
        <v>15</v>
      </c>
      <c r="I245" s="212"/>
      <c r="J245" s="212"/>
      <c r="K245" s="212"/>
    </row>
    <row r="246" spans="1:11">
      <c r="A246" s="203">
        <f t="shared" si="37"/>
        <v>6</v>
      </c>
      <c r="B246" s="278" t="s">
        <v>602</v>
      </c>
      <c r="C246" s="203"/>
      <c r="D246" s="203"/>
      <c r="E246" s="203"/>
      <c r="F246" s="280" t="s">
        <v>52</v>
      </c>
      <c r="G246" s="280" t="s">
        <v>52</v>
      </c>
      <c r="H246" s="280" t="s">
        <v>52</v>
      </c>
      <c r="I246" s="272"/>
      <c r="J246" s="272"/>
      <c r="K246" s="272"/>
    </row>
    <row r="247" spans="1:11">
      <c r="A247">
        <f t="shared" si="37"/>
        <v>7</v>
      </c>
      <c r="B247" s="261" t="s">
        <v>604</v>
      </c>
      <c r="F247" s="212">
        <f>VLOOKUP($O$229,$C$119:$M$124,9)</f>
        <v>15</v>
      </c>
      <c r="G247" s="212">
        <f>IF($O$229=3,0,VLOOKUP($O$229,$C$119:$M$124,IF(OR($O$229=0.3,$O$229=0.6,$O$229=1.2),5,3)))</f>
        <v>30</v>
      </c>
      <c r="H247" s="212" t="str">
        <f>IF($O$229=3,"--",IF(RIGHT($O$229,1)="S",VLOOKUP($O$229,$C$119:$M$124,7),"--"))</f>
        <v>--</v>
      </c>
      <c r="I247" s="212">
        <f>VLOOKUP($O$229,$C$119:$M$124,11)</f>
        <v>15</v>
      </c>
      <c r="J247" s="212"/>
      <c r="K247" s="212"/>
    </row>
    <row r="248" spans="1:11">
      <c r="A248" s="203">
        <f t="shared" si="37"/>
        <v>8</v>
      </c>
      <c r="B248" s="278" t="s">
        <v>605</v>
      </c>
      <c r="C248" s="203"/>
      <c r="D248" s="203"/>
      <c r="E248" s="203"/>
      <c r="F248" s="272" t="str">
        <f>IF(LEFT($O$229,1)="5",60,"--")</f>
        <v>--</v>
      </c>
      <c r="G248" s="280" t="s">
        <v>52</v>
      </c>
      <c r="H248" s="280" t="s">
        <v>52</v>
      </c>
      <c r="I248" s="272"/>
      <c r="J248" s="272"/>
      <c r="K248" s="272"/>
    </row>
    <row r="249" spans="1:11">
      <c r="A249">
        <f t="shared" si="37"/>
        <v>9</v>
      </c>
      <c r="B249" s="261" t="s">
        <v>606</v>
      </c>
      <c r="F249" s="212">
        <f>VLOOKUP($O$229,$C$163:$I$166,5)</f>
        <v>15</v>
      </c>
      <c r="G249" s="212">
        <f>IF($O$229=3,0,VLOOKUP($O$229,$C$163:$I$166,3))</f>
        <v>30</v>
      </c>
      <c r="H249" s="212">
        <f>VLOOKUP($O$229,$C$163:$I$166,7)</f>
        <v>15</v>
      </c>
      <c r="I249" s="212"/>
      <c r="J249" s="212"/>
      <c r="K249" s="212"/>
    </row>
    <row r="250" spans="1:11">
      <c r="A250" s="203">
        <f t="shared" si="37"/>
        <v>10</v>
      </c>
      <c r="B250" s="278" t="s">
        <v>607</v>
      </c>
      <c r="C250" s="203"/>
      <c r="D250" s="203"/>
      <c r="E250" s="203"/>
      <c r="F250" s="280" t="s">
        <v>52</v>
      </c>
      <c r="G250" s="280" t="s">
        <v>52</v>
      </c>
      <c r="H250" s="280" t="s">
        <v>52</v>
      </c>
      <c r="I250" s="272"/>
      <c r="J250" s="272"/>
      <c r="K250" s="272"/>
    </row>
    <row r="1048576" spans="2:2">
      <c r="B1048576" s="261"/>
    </row>
  </sheetData>
  <printOptions horizontalCentered="1" verticalCentered="1"/>
  <pageMargins left="0.261811024" right="0.261811024" top="0.28740157500000002" bottom="0.28740157500000002" header="0.31496062000000002" footer="0.31496062000000002"/>
  <pageSetup paperSize="8" fitToHeight="2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A7810-B849-447F-936B-56C83DC6EB26}">
  <dimension ref="A1:AO251"/>
  <sheetViews>
    <sheetView topLeftCell="A67" zoomScale="78" zoomScaleNormal="78" workbookViewId="0">
      <selection activeCell="M77" sqref="M77"/>
    </sheetView>
  </sheetViews>
  <sheetFormatPr defaultColWidth="8.7109375" defaultRowHeight="18" customHeight="1"/>
  <cols>
    <col min="1" max="16384" width="8.7109375" style="88"/>
  </cols>
  <sheetData>
    <row r="1" spans="1:41" ht="24" customHeight="1">
      <c r="A1" s="94" t="s">
        <v>29</v>
      </c>
      <c r="B1" s="94"/>
      <c r="C1" s="94"/>
      <c r="D1" s="94"/>
      <c r="E1" s="94"/>
      <c r="F1" s="94"/>
      <c r="G1" s="94"/>
      <c r="H1" s="94"/>
      <c r="I1" s="94"/>
      <c r="J1" s="95"/>
      <c r="K1" s="94"/>
      <c r="L1" s="94"/>
      <c r="AA1" s="86"/>
      <c r="AB1" s="98" t="s">
        <v>128</v>
      </c>
      <c r="AC1" s="86"/>
      <c r="AD1" s="86"/>
      <c r="AE1" s="98" t="s">
        <v>134</v>
      </c>
      <c r="AF1" s="86"/>
      <c r="AG1" s="86"/>
      <c r="AH1" s="98" t="s">
        <v>144</v>
      </c>
      <c r="AJ1" s="86"/>
      <c r="AK1" s="86" t="s">
        <v>129</v>
      </c>
      <c r="AL1" s="86" t="s">
        <v>130</v>
      </c>
      <c r="AO1" s="98" t="s">
        <v>140</v>
      </c>
    </row>
    <row r="2" spans="1:41" ht="18" customHeight="1">
      <c r="AA2" s="87">
        <v>1</v>
      </c>
      <c r="AB2" s="87" t="s">
        <v>151</v>
      </c>
      <c r="AC2" s="86"/>
      <c r="AD2" s="87">
        <v>1</v>
      </c>
      <c r="AE2" s="87" t="s">
        <v>135</v>
      </c>
      <c r="AF2" s="86"/>
      <c r="AG2" s="87">
        <v>1</v>
      </c>
      <c r="AH2" s="87" t="s">
        <v>131</v>
      </c>
      <c r="AJ2" s="87">
        <v>1</v>
      </c>
      <c r="AK2" s="87" t="s">
        <v>132</v>
      </c>
      <c r="AL2" s="87" t="s">
        <v>132</v>
      </c>
      <c r="AN2" s="87">
        <v>1</v>
      </c>
      <c r="AO2" s="87" t="s">
        <v>141</v>
      </c>
    </row>
    <row r="4" spans="1:41" ht="18" customHeight="1">
      <c r="A4" s="93" t="s">
        <v>73</v>
      </c>
    </row>
    <row r="5" spans="1:41" ht="18" customHeight="1">
      <c r="A5" s="91" t="s">
        <v>67</v>
      </c>
      <c r="B5" s="88" t="s">
        <v>64</v>
      </c>
      <c r="C5" s="88" t="s">
        <v>65</v>
      </c>
      <c r="D5" s="88" t="s">
        <v>69</v>
      </c>
      <c r="E5" s="88" t="s">
        <v>70</v>
      </c>
      <c r="G5" s="88" t="s">
        <v>68</v>
      </c>
      <c r="H5" s="88" t="s">
        <v>64</v>
      </c>
      <c r="I5" s="88" t="s">
        <v>74</v>
      </c>
      <c r="K5" s="88" t="s">
        <v>60</v>
      </c>
    </row>
    <row r="6" spans="1:41" ht="18" customHeight="1">
      <c r="A6" s="88" t="str">
        <f>B6&amp;"C"</f>
        <v>0.3C</v>
      </c>
      <c r="B6" s="88">
        <v>0.3</v>
      </c>
      <c r="D6" s="88">
        <v>15</v>
      </c>
      <c r="E6" s="88">
        <f>D6*2</f>
        <v>30</v>
      </c>
      <c r="G6" s="88" t="str">
        <f>H6&amp;"B"</f>
        <v>5B</v>
      </c>
      <c r="H6" s="88">
        <v>5</v>
      </c>
      <c r="I6" s="88">
        <v>5</v>
      </c>
      <c r="K6" s="88">
        <v>1</v>
      </c>
    </row>
    <row r="7" spans="1:41" ht="18" customHeight="1">
      <c r="A7" s="88" t="str">
        <f t="shared" ref="A7:A9" si="0">B7&amp;"C"</f>
        <v>0.6C</v>
      </c>
      <c r="B7" s="88">
        <v>0.6</v>
      </c>
      <c r="D7" s="88">
        <v>32</v>
      </c>
      <c r="E7" s="88">
        <f>D7*2</f>
        <v>64</v>
      </c>
      <c r="G7" s="88" t="str">
        <f>H7&amp;"B"</f>
        <v>10B</v>
      </c>
      <c r="H7" s="88">
        <v>10</v>
      </c>
      <c r="I7" s="88">
        <v>10</v>
      </c>
      <c r="K7" s="88">
        <v>1.2</v>
      </c>
    </row>
    <row r="8" spans="1:41" ht="18" customHeight="1">
      <c r="A8" s="88" t="str">
        <f t="shared" si="0"/>
        <v>1.2C</v>
      </c>
      <c r="B8" s="88">
        <v>1.2</v>
      </c>
      <c r="D8" s="88">
        <v>60</v>
      </c>
      <c r="E8" s="88">
        <f>D8*2</f>
        <v>120</v>
      </c>
      <c r="K8" s="88">
        <v>1.3</v>
      </c>
    </row>
    <row r="9" spans="1:41" ht="18" customHeight="1">
      <c r="A9" s="88" t="str">
        <f t="shared" si="0"/>
        <v>3C</v>
      </c>
      <c r="B9" s="88">
        <v>3</v>
      </c>
      <c r="K9" s="88">
        <v>1.5</v>
      </c>
    </row>
    <row r="10" spans="1:41" ht="18" customHeight="1">
      <c r="K10" s="88">
        <v>2</v>
      </c>
    </row>
    <row r="12" spans="1:41" ht="18" customHeight="1">
      <c r="A12" s="93" t="s">
        <v>53</v>
      </c>
      <c r="I12" s="93" t="s">
        <v>50</v>
      </c>
    </row>
    <row r="13" spans="1:41" ht="18" customHeight="1">
      <c r="A13" s="88" t="s">
        <v>42</v>
      </c>
      <c r="B13" s="88" t="s">
        <v>39</v>
      </c>
      <c r="C13" s="88" t="s">
        <v>46</v>
      </c>
      <c r="D13" s="88" t="s">
        <v>47</v>
      </c>
      <c r="E13" s="88" t="s">
        <v>41</v>
      </c>
      <c r="F13" s="88" t="s">
        <v>44</v>
      </c>
      <c r="G13" s="88" t="s">
        <v>43</v>
      </c>
      <c r="I13" s="88" t="s">
        <v>48</v>
      </c>
      <c r="J13" s="88" t="s">
        <v>49</v>
      </c>
      <c r="K13" s="88" t="s">
        <v>45</v>
      </c>
    </row>
    <row r="14" spans="1:41" ht="18" customHeight="1">
      <c r="A14" s="88" t="str">
        <f>"C"&amp;B14</f>
        <v>C2.5</v>
      </c>
      <c r="B14" s="88">
        <f t="shared" ref="B14:B19" si="1">G14/(20/5)</f>
        <v>2.5</v>
      </c>
      <c r="C14" s="88">
        <v>0.09</v>
      </c>
      <c r="D14" s="88">
        <v>4.3999999999999997E-2</v>
      </c>
      <c r="E14" s="88">
        <v>0.9</v>
      </c>
      <c r="F14" s="88">
        <f>ROUND((C14^2+D14^2)^0.5,2)</f>
        <v>0.1</v>
      </c>
      <c r="G14" s="88">
        <f>F14*5*20</f>
        <v>10</v>
      </c>
      <c r="I14" s="88">
        <f>C14*(5/1)^2</f>
        <v>2.25</v>
      </c>
      <c r="J14" s="88">
        <f>D14*(5/1)^2</f>
        <v>1.0999999999999999</v>
      </c>
      <c r="K14" s="88">
        <f t="shared" ref="K14:K19" si="2">ROUND((I14^2+J14^2)^0.5,2)</f>
        <v>2.5</v>
      </c>
    </row>
    <row r="15" spans="1:41" ht="18" customHeight="1">
      <c r="A15" s="88" t="str">
        <f t="shared" ref="A15:A19" si="3">"C"&amp;B15</f>
        <v>C5</v>
      </c>
      <c r="B15" s="88">
        <f t="shared" si="1"/>
        <v>5</v>
      </c>
      <c r="C15" s="88">
        <v>0.18</v>
      </c>
      <c r="D15" s="88">
        <v>8.6999999999999994E-2</v>
      </c>
      <c r="E15" s="88">
        <v>0.9</v>
      </c>
      <c r="F15" s="88">
        <f t="shared" ref="F15:F19" si="4">ROUND((C15^2+D15^2)^0.5,2)</f>
        <v>0.2</v>
      </c>
      <c r="G15" s="88">
        <f t="shared" ref="G15:G19" si="5">F15*5*20</f>
        <v>20</v>
      </c>
      <c r="I15" s="88">
        <f t="shared" ref="I15:J19" si="6">C15*(5/1)^2</f>
        <v>4.5</v>
      </c>
      <c r="J15" s="88">
        <f t="shared" si="6"/>
        <v>2.1749999999999998</v>
      </c>
      <c r="K15" s="88">
        <f t="shared" si="2"/>
        <v>5</v>
      </c>
    </row>
    <row r="16" spans="1:41" ht="18" customHeight="1">
      <c r="A16" s="88" t="str">
        <f t="shared" si="3"/>
        <v>C12.5</v>
      </c>
      <c r="B16" s="88">
        <f t="shared" si="1"/>
        <v>12.5</v>
      </c>
      <c r="C16" s="88">
        <v>0.45</v>
      </c>
      <c r="D16" s="88">
        <v>0.218</v>
      </c>
      <c r="E16" s="88">
        <v>0.9</v>
      </c>
      <c r="F16" s="88">
        <f t="shared" si="4"/>
        <v>0.5</v>
      </c>
      <c r="G16" s="88">
        <f t="shared" si="5"/>
        <v>50</v>
      </c>
      <c r="I16" s="88">
        <f t="shared" si="6"/>
        <v>11.25</v>
      </c>
      <c r="J16" s="88">
        <f t="shared" si="6"/>
        <v>5.45</v>
      </c>
      <c r="K16" s="88">
        <f t="shared" si="2"/>
        <v>12.5</v>
      </c>
    </row>
    <row r="17" spans="1:11" ht="18" customHeight="1">
      <c r="A17" s="88" t="str">
        <f t="shared" si="3"/>
        <v>C22.5</v>
      </c>
      <c r="B17" s="88">
        <f t="shared" si="1"/>
        <v>22.5</v>
      </c>
      <c r="C17" s="88">
        <v>0.81</v>
      </c>
      <c r="D17" s="88">
        <v>0.39200000000000002</v>
      </c>
      <c r="E17" s="88">
        <v>0.9</v>
      </c>
      <c r="F17" s="88">
        <f t="shared" si="4"/>
        <v>0.9</v>
      </c>
      <c r="G17" s="88">
        <f t="shared" si="5"/>
        <v>90</v>
      </c>
      <c r="I17" s="88">
        <f t="shared" si="6"/>
        <v>20.25</v>
      </c>
      <c r="J17" s="88">
        <f t="shared" si="6"/>
        <v>9.8000000000000007</v>
      </c>
      <c r="K17" s="88">
        <f t="shared" si="2"/>
        <v>22.5</v>
      </c>
    </row>
    <row r="18" spans="1:11" ht="18" customHeight="1">
      <c r="A18" s="88" t="str">
        <f t="shared" si="3"/>
        <v>C45</v>
      </c>
      <c r="B18" s="88">
        <f t="shared" si="1"/>
        <v>45</v>
      </c>
      <c r="C18" s="88">
        <v>1.62</v>
      </c>
      <c r="D18" s="88">
        <v>0.78500000000000003</v>
      </c>
      <c r="E18" s="88">
        <v>0.9</v>
      </c>
      <c r="F18" s="88">
        <f t="shared" si="4"/>
        <v>1.8</v>
      </c>
      <c r="G18" s="88">
        <f t="shared" si="5"/>
        <v>180</v>
      </c>
      <c r="I18" s="88">
        <f t="shared" si="6"/>
        <v>40.5</v>
      </c>
      <c r="J18" s="88">
        <f t="shared" si="6"/>
        <v>19.625</v>
      </c>
      <c r="K18" s="88">
        <f t="shared" si="2"/>
        <v>45</v>
      </c>
    </row>
    <row r="19" spans="1:11" ht="18" customHeight="1">
      <c r="A19" s="88" t="str">
        <f t="shared" si="3"/>
        <v>C90</v>
      </c>
      <c r="B19" s="88">
        <f t="shared" si="1"/>
        <v>90</v>
      </c>
      <c r="C19" s="88">
        <v>3.24</v>
      </c>
      <c r="D19" s="88">
        <v>1.569</v>
      </c>
      <c r="E19" s="88">
        <v>0.9</v>
      </c>
      <c r="F19" s="88">
        <f t="shared" si="4"/>
        <v>3.6</v>
      </c>
      <c r="G19" s="88">
        <f t="shared" si="5"/>
        <v>360</v>
      </c>
      <c r="I19" s="88">
        <f t="shared" si="6"/>
        <v>81</v>
      </c>
      <c r="J19" s="88">
        <f t="shared" si="6"/>
        <v>39.225000000000001</v>
      </c>
      <c r="K19" s="88">
        <f t="shared" si="2"/>
        <v>90</v>
      </c>
    </row>
    <row r="21" spans="1:11" ht="18" customHeight="1">
      <c r="A21" s="93" t="s">
        <v>54</v>
      </c>
      <c r="I21" s="93" t="s">
        <v>51</v>
      </c>
    </row>
    <row r="22" spans="1:11" ht="18" customHeight="1">
      <c r="A22" s="88" t="s">
        <v>42</v>
      </c>
      <c r="B22" s="88" t="s">
        <v>39</v>
      </c>
      <c r="C22" s="88" t="s">
        <v>46</v>
      </c>
      <c r="D22" s="88" t="s">
        <v>47</v>
      </c>
      <c r="E22" s="88" t="s">
        <v>41</v>
      </c>
      <c r="F22" s="88" t="s">
        <v>44</v>
      </c>
      <c r="G22" s="88" t="s">
        <v>43</v>
      </c>
      <c r="I22" s="88" t="s">
        <v>48</v>
      </c>
      <c r="J22" s="88" t="s">
        <v>49</v>
      </c>
      <c r="K22" s="88" t="s">
        <v>45</v>
      </c>
    </row>
    <row r="23" spans="1:11" ht="18" customHeight="1">
      <c r="A23" s="88" t="str">
        <f>"C"&amp;B23</f>
        <v>C25</v>
      </c>
      <c r="B23" s="88">
        <f t="shared" ref="B23:B26" si="7">G23/(20/5)</f>
        <v>25</v>
      </c>
      <c r="C23" s="88">
        <v>0.5</v>
      </c>
      <c r="D23" s="88">
        <v>0.86599999999999999</v>
      </c>
      <c r="E23" s="88">
        <v>0.5</v>
      </c>
      <c r="F23" s="88">
        <f>ROUND((C23^2+D23^2)^0.5,2)</f>
        <v>1</v>
      </c>
      <c r="G23" s="88">
        <f>F23*5*20</f>
        <v>100</v>
      </c>
      <c r="I23" s="88">
        <f>C23*(5/1)^2</f>
        <v>12.5</v>
      </c>
      <c r="J23" s="88">
        <f>D23*(5/1)^2</f>
        <v>21.65</v>
      </c>
      <c r="K23" s="88">
        <f t="shared" ref="K23:K26" si="8">ROUND((I23^2+J23^2)^0.5,2)</f>
        <v>25</v>
      </c>
    </row>
    <row r="24" spans="1:11" ht="18" customHeight="1">
      <c r="A24" s="88" t="str">
        <f>"C"&amp;B24</f>
        <v>C50</v>
      </c>
      <c r="B24" s="88">
        <f t="shared" si="7"/>
        <v>50</v>
      </c>
      <c r="C24" s="88">
        <v>1</v>
      </c>
      <c r="D24" s="88">
        <v>1.732</v>
      </c>
      <c r="E24" s="88">
        <v>0.5</v>
      </c>
      <c r="F24" s="88">
        <f>ROUND((C24^2+D24^2)^0.5,2)</f>
        <v>2</v>
      </c>
      <c r="G24" s="88">
        <f t="shared" ref="G24:G26" si="9">F24*5*20</f>
        <v>200</v>
      </c>
      <c r="I24" s="88">
        <f t="shared" ref="I24:I26" si="10">C24*(5/1)^2</f>
        <v>25</v>
      </c>
      <c r="J24" s="88">
        <f t="shared" ref="J24:J26" si="11">D24*(5/1)^2</f>
        <v>43.3</v>
      </c>
      <c r="K24" s="88">
        <f t="shared" si="8"/>
        <v>50</v>
      </c>
    </row>
    <row r="25" spans="1:11" ht="18" customHeight="1">
      <c r="A25" s="88" t="str">
        <f>"C"&amp;B25</f>
        <v>C100</v>
      </c>
      <c r="B25" s="88">
        <f t="shared" si="7"/>
        <v>100</v>
      </c>
      <c r="C25" s="88">
        <v>2</v>
      </c>
      <c r="D25" s="88">
        <v>3.464</v>
      </c>
      <c r="E25" s="88">
        <v>0.5</v>
      </c>
      <c r="F25" s="88">
        <f>ROUND((C25^2+D25^2)^0.5,2)</f>
        <v>4</v>
      </c>
      <c r="G25" s="88">
        <f t="shared" si="9"/>
        <v>400</v>
      </c>
      <c r="I25" s="88">
        <f t="shared" si="10"/>
        <v>50</v>
      </c>
      <c r="J25" s="88">
        <f t="shared" si="11"/>
        <v>86.6</v>
      </c>
      <c r="K25" s="88">
        <f t="shared" si="8"/>
        <v>100</v>
      </c>
    </row>
    <row r="26" spans="1:11" ht="18" customHeight="1">
      <c r="A26" s="88" t="str">
        <f>"C"&amp;B26</f>
        <v>C200</v>
      </c>
      <c r="B26" s="88">
        <f t="shared" si="7"/>
        <v>200</v>
      </c>
      <c r="C26" s="88">
        <v>4</v>
      </c>
      <c r="D26" s="88">
        <v>6.9279999999999999</v>
      </c>
      <c r="E26" s="88">
        <v>0.5</v>
      </c>
      <c r="F26" s="88">
        <f>ROUND((C26^2+D26^2)^0.5,2)</f>
        <v>8</v>
      </c>
      <c r="G26" s="88">
        <f t="shared" si="9"/>
        <v>800</v>
      </c>
      <c r="I26" s="88">
        <f t="shared" si="10"/>
        <v>100</v>
      </c>
      <c r="J26" s="88">
        <f t="shared" si="11"/>
        <v>173.2</v>
      </c>
      <c r="K26" s="88">
        <f t="shared" si="8"/>
        <v>200</v>
      </c>
    </row>
    <row r="29" spans="1:11" ht="18" customHeight="1">
      <c r="A29" s="93" t="s">
        <v>55</v>
      </c>
      <c r="I29" s="93" t="s">
        <v>50</v>
      </c>
    </row>
    <row r="30" spans="1:11" ht="18" customHeight="1">
      <c r="A30" s="88" t="s">
        <v>42</v>
      </c>
      <c r="B30" s="88" t="s">
        <v>39</v>
      </c>
      <c r="C30" s="88" t="s">
        <v>46</v>
      </c>
      <c r="D30" s="88" t="s">
        <v>47</v>
      </c>
      <c r="E30" s="88" t="s">
        <v>41</v>
      </c>
      <c r="F30" s="88" t="s">
        <v>44</v>
      </c>
      <c r="G30" s="88" t="s">
        <v>43</v>
      </c>
      <c r="I30" s="88" t="s">
        <v>48</v>
      </c>
      <c r="J30" s="88" t="s">
        <v>49</v>
      </c>
      <c r="K30" s="88" t="s">
        <v>45</v>
      </c>
    </row>
    <row r="31" spans="1:11" ht="18" customHeight="1">
      <c r="A31" s="90" t="s">
        <v>52</v>
      </c>
      <c r="B31" s="88">
        <f t="shared" ref="B31:B36" si="12">G31/(20/5)</f>
        <v>2.5</v>
      </c>
      <c r="C31" s="88">
        <v>0.09</v>
      </c>
      <c r="D31" s="88">
        <v>4.3999999999999997E-2</v>
      </c>
      <c r="E31" s="88">
        <v>0.9</v>
      </c>
      <c r="F31" s="88">
        <f>ROUND((C31^2+D31^2)^0.5,2)</f>
        <v>0.1</v>
      </c>
      <c r="G31" s="88">
        <f>F31*5*20</f>
        <v>10</v>
      </c>
      <c r="I31" s="88">
        <f>C31*(5/1)^2</f>
        <v>2.25</v>
      </c>
      <c r="J31" s="88">
        <f>D31*(5/1)^2</f>
        <v>1.0999999999999999</v>
      </c>
      <c r="K31" s="88">
        <f t="shared" ref="K31:K36" si="13">ROUND((I31^2+J31^2)^0.5,2)</f>
        <v>2.5</v>
      </c>
    </row>
    <row r="32" spans="1:11" ht="18" customHeight="1">
      <c r="A32" s="90" t="s">
        <v>52</v>
      </c>
      <c r="B32" s="88">
        <f t="shared" si="12"/>
        <v>5</v>
      </c>
      <c r="C32" s="88">
        <v>0.18</v>
      </c>
      <c r="D32" s="88">
        <v>8.6999999999999994E-2</v>
      </c>
      <c r="E32" s="88">
        <v>0.9</v>
      </c>
      <c r="F32" s="88">
        <f t="shared" ref="F32:F36" si="14">ROUND((C32^2+D32^2)^0.5,2)</f>
        <v>0.2</v>
      </c>
      <c r="G32" s="88">
        <f t="shared" ref="G32:G36" si="15">F32*5*20</f>
        <v>20</v>
      </c>
      <c r="I32" s="88">
        <f t="shared" ref="I32:I36" si="16">C32*(5/1)^2</f>
        <v>4.5</v>
      </c>
      <c r="J32" s="88">
        <f t="shared" ref="J32:J36" si="17">D32*(5/1)^2</f>
        <v>2.1749999999999998</v>
      </c>
      <c r="K32" s="88">
        <f t="shared" si="13"/>
        <v>5</v>
      </c>
    </row>
    <row r="33" spans="1:11" ht="18" customHeight="1">
      <c r="A33" s="90" t="s">
        <v>52</v>
      </c>
      <c r="B33" s="88">
        <f t="shared" si="12"/>
        <v>12.5</v>
      </c>
      <c r="C33" s="88">
        <v>0.45</v>
      </c>
      <c r="D33" s="88">
        <v>0.218</v>
      </c>
      <c r="E33" s="88">
        <v>0.9</v>
      </c>
      <c r="F33" s="88">
        <f t="shared" si="14"/>
        <v>0.5</v>
      </c>
      <c r="G33" s="88">
        <f t="shared" si="15"/>
        <v>50</v>
      </c>
      <c r="I33" s="88">
        <f t="shared" si="16"/>
        <v>11.25</v>
      </c>
      <c r="J33" s="88">
        <f t="shared" si="17"/>
        <v>5.45</v>
      </c>
      <c r="K33" s="88">
        <f t="shared" si="13"/>
        <v>12.5</v>
      </c>
    </row>
    <row r="34" spans="1:11" ht="18" customHeight="1">
      <c r="A34" s="90" t="s">
        <v>52</v>
      </c>
      <c r="B34" s="88">
        <f t="shared" si="12"/>
        <v>22.5</v>
      </c>
      <c r="C34" s="88">
        <v>0.81</v>
      </c>
      <c r="D34" s="88">
        <v>0.39200000000000002</v>
      </c>
      <c r="E34" s="88">
        <v>0.9</v>
      </c>
      <c r="F34" s="88">
        <f t="shared" si="14"/>
        <v>0.9</v>
      </c>
      <c r="G34" s="88">
        <f t="shared" si="15"/>
        <v>90</v>
      </c>
      <c r="I34" s="88">
        <f t="shared" si="16"/>
        <v>20.25</v>
      </c>
      <c r="J34" s="88">
        <f t="shared" si="17"/>
        <v>9.8000000000000007</v>
      </c>
      <c r="K34" s="88">
        <f t="shared" si="13"/>
        <v>22.5</v>
      </c>
    </row>
    <row r="35" spans="1:11" ht="18" customHeight="1">
      <c r="A35" s="90" t="s">
        <v>52</v>
      </c>
      <c r="B35" s="88">
        <f t="shared" si="12"/>
        <v>45</v>
      </c>
      <c r="C35" s="88">
        <v>1.62</v>
      </c>
      <c r="D35" s="88">
        <v>0.78500000000000003</v>
      </c>
      <c r="E35" s="88">
        <v>0.9</v>
      </c>
      <c r="F35" s="88">
        <f t="shared" si="14"/>
        <v>1.8</v>
      </c>
      <c r="G35" s="88">
        <f t="shared" si="15"/>
        <v>180</v>
      </c>
      <c r="I35" s="88">
        <f t="shared" si="16"/>
        <v>40.5</v>
      </c>
      <c r="J35" s="88">
        <f t="shared" si="17"/>
        <v>19.625</v>
      </c>
      <c r="K35" s="88">
        <f t="shared" si="13"/>
        <v>45</v>
      </c>
    </row>
    <row r="36" spans="1:11" ht="18" customHeight="1">
      <c r="A36" s="90" t="s">
        <v>52</v>
      </c>
      <c r="B36" s="88">
        <f t="shared" si="12"/>
        <v>90</v>
      </c>
      <c r="C36" s="88">
        <v>3.24</v>
      </c>
      <c r="D36" s="88">
        <v>1.569</v>
      </c>
      <c r="E36" s="88">
        <v>0.9</v>
      </c>
      <c r="F36" s="88">
        <f t="shared" si="14"/>
        <v>3.6</v>
      </c>
      <c r="G36" s="88">
        <f t="shared" si="15"/>
        <v>360</v>
      </c>
      <c r="I36" s="88">
        <f t="shared" si="16"/>
        <v>81</v>
      </c>
      <c r="J36" s="88">
        <f t="shared" si="17"/>
        <v>39.225000000000001</v>
      </c>
      <c r="K36" s="88">
        <f t="shared" si="13"/>
        <v>90</v>
      </c>
    </row>
    <row r="38" spans="1:11" ht="18" customHeight="1">
      <c r="A38" s="93" t="s">
        <v>56</v>
      </c>
      <c r="I38" s="93" t="s">
        <v>51</v>
      </c>
    </row>
    <row r="39" spans="1:11" ht="18" customHeight="1">
      <c r="A39" s="88" t="s">
        <v>42</v>
      </c>
      <c r="B39" s="88" t="s">
        <v>39</v>
      </c>
      <c r="C39" s="88" t="s">
        <v>46</v>
      </c>
      <c r="D39" s="88" t="s">
        <v>47</v>
      </c>
      <c r="E39" s="88" t="s">
        <v>41</v>
      </c>
      <c r="F39" s="88" t="s">
        <v>44</v>
      </c>
      <c r="G39" s="88" t="s">
        <v>43</v>
      </c>
      <c r="I39" s="88" t="s">
        <v>48</v>
      </c>
      <c r="J39" s="88" t="s">
        <v>49</v>
      </c>
      <c r="K39" s="88" t="s">
        <v>45</v>
      </c>
    </row>
    <row r="40" spans="1:11" ht="18" customHeight="1">
      <c r="A40" s="90" t="s">
        <v>52</v>
      </c>
      <c r="B40" s="88">
        <f t="shared" ref="B40:B42" si="18">G40/(20/5)</f>
        <v>25</v>
      </c>
      <c r="C40" s="88">
        <v>0.5</v>
      </c>
      <c r="D40" s="88">
        <v>0.86599999999999999</v>
      </c>
      <c r="E40" s="88">
        <v>0.5</v>
      </c>
      <c r="F40" s="88">
        <f>ROUND((C40^2+D40^2)^0.5,2)</f>
        <v>1</v>
      </c>
      <c r="G40" s="88">
        <f>F40*5*20</f>
        <v>100</v>
      </c>
      <c r="I40" s="88">
        <f>C40*(5/1)^2</f>
        <v>12.5</v>
      </c>
      <c r="J40" s="88">
        <f>D40*(5/1)^2</f>
        <v>21.65</v>
      </c>
      <c r="K40" s="88">
        <f t="shared" ref="K40:K42" si="19">ROUND((I40^2+J40^2)^0.5,2)</f>
        <v>25</v>
      </c>
    </row>
    <row r="41" spans="1:11" ht="18" customHeight="1">
      <c r="A41" s="90" t="s">
        <v>52</v>
      </c>
      <c r="B41" s="88">
        <f t="shared" si="18"/>
        <v>50</v>
      </c>
      <c r="C41" s="88">
        <v>1</v>
      </c>
      <c r="D41" s="88">
        <v>1.732</v>
      </c>
      <c r="E41" s="88">
        <v>0.5</v>
      </c>
      <c r="F41" s="88">
        <f>ROUND((C41^2+D41^2)^0.5,2)</f>
        <v>2</v>
      </c>
      <c r="G41" s="88">
        <f t="shared" ref="G41:G42" si="20">F41*5*20</f>
        <v>200</v>
      </c>
      <c r="I41" s="88">
        <f t="shared" ref="I41:I42" si="21">C41*(5/1)^2</f>
        <v>25</v>
      </c>
      <c r="J41" s="88">
        <f t="shared" ref="J41:J42" si="22">D41*(5/1)^2</f>
        <v>43.3</v>
      </c>
      <c r="K41" s="88">
        <f t="shared" si="19"/>
        <v>50</v>
      </c>
    </row>
    <row r="42" spans="1:11" ht="18" customHeight="1">
      <c r="A42" s="90" t="s">
        <v>52</v>
      </c>
      <c r="B42" s="88">
        <f t="shared" si="18"/>
        <v>100</v>
      </c>
      <c r="C42" s="88">
        <v>2</v>
      </c>
      <c r="D42" s="88">
        <v>3.464</v>
      </c>
      <c r="E42" s="88">
        <v>0.5</v>
      </c>
      <c r="F42" s="88">
        <f>ROUND((C42^2+D42^2)^0.5,2)</f>
        <v>4</v>
      </c>
      <c r="G42" s="88">
        <f t="shared" si="20"/>
        <v>400</v>
      </c>
      <c r="I42" s="88">
        <f t="shared" si="21"/>
        <v>50</v>
      </c>
      <c r="J42" s="88">
        <f t="shared" si="22"/>
        <v>86.6</v>
      </c>
      <c r="K42" s="88">
        <f t="shared" si="19"/>
        <v>100</v>
      </c>
    </row>
    <row r="44" spans="1:11" ht="18" customHeight="1">
      <c r="A44" s="93" t="s">
        <v>57</v>
      </c>
    </row>
    <row r="45" spans="1:11" ht="18" customHeight="1">
      <c r="A45" s="88" t="s">
        <v>42</v>
      </c>
      <c r="B45" s="88" t="s">
        <v>39</v>
      </c>
      <c r="C45" s="88" t="s">
        <v>48</v>
      </c>
      <c r="D45" s="88" t="s">
        <v>49</v>
      </c>
      <c r="E45" s="88" t="s">
        <v>41</v>
      </c>
      <c r="F45" s="88" t="s">
        <v>45</v>
      </c>
      <c r="G45" s="88" t="s">
        <v>43</v>
      </c>
    </row>
    <row r="46" spans="1:11" ht="18" customHeight="1">
      <c r="A46" s="90" t="s">
        <v>52</v>
      </c>
      <c r="B46" s="88">
        <f>G46/(20/1)</f>
        <v>1</v>
      </c>
      <c r="C46" s="88">
        <v>1</v>
      </c>
      <c r="D46" s="88">
        <v>0</v>
      </c>
      <c r="E46" s="88">
        <v>1</v>
      </c>
      <c r="F46" s="88">
        <f>ROUND((C46^2+D46^2)^0.5,2)</f>
        <v>1</v>
      </c>
      <c r="G46" s="88">
        <f>F46*1*20</f>
        <v>20</v>
      </c>
    </row>
    <row r="47" spans="1:11" ht="18" customHeight="1">
      <c r="A47" s="90" t="s">
        <v>52</v>
      </c>
      <c r="B47" s="88">
        <f>G47/(20/1)</f>
        <v>2.5</v>
      </c>
      <c r="C47" s="88">
        <v>2.5</v>
      </c>
      <c r="D47" s="88">
        <v>0</v>
      </c>
      <c r="E47" s="88">
        <v>1</v>
      </c>
      <c r="F47" s="88">
        <f>ROUND((C47^2+D47^2)^0.5,2)</f>
        <v>2.5</v>
      </c>
      <c r="G47" s="88">
        <f>F47*1*20</f>
        <v>50</v>
      </c>
    </row>
    <row r="48" spans="1:11" ht="18" customHeight="1">
      <c r="A48" s="90" t="s">
        <v>52</v>
      </c>
      <c r="B48" s="88">
        <f>G48/(20/1)</f>
        <v>4</v>
      </c>
      <c r="C48" s="88">
        <v>4</v>
      </c>
      <c r="D48" s="88">
        <v>0</v>
      </c>
      <c r="E48" s="88">
        <v>1</v>
      </c>
      <c r="F48" s="88">
        <f>ROUND((C48^2+D48^2)^0.5,2)</f>
        <v>4</v>
      </c>
      <c r="G48" s="88">
        <f>F48*1*20</f>
        <v>80</v>
      </c>
    </row>
    <row r="49" spans="1:13" ht="18" customHeight="1">
      <c r="A49" s="90" t="s">
        <v>52</v>
      </c>
      <c r="B49" s="88">
        <f>G49/(20/1)</f>
        <v>5</v>
      </c>
      <c r="C49" s="88">
        <v>5</v>
      </c>
      <c r="D49" s="88">
        <v>0</v>
      </c>
      <c r="E49" s="88">
        <v>1</v>
      </c>
      <c r="F49" s="88">
        <f>ROUND((C49^2+D49^2)^0.5,2)</f>
        <v>5</v>
      </c>
      <c r="G49" s="88">
        <f>F49*1*20</f>
        <v>100</v>
      </c>
    </row>
    <row r="51" spans="1:13" ht="18" customHeight="1">
      <c r="A51" s="93" t="s">
        <v>58</v>
      </c>
    </row>
    <row r="52" spans="1:13" ht="18" customHeight="1">
      <c r="A52" s="88" t="s">
        <v>42</v>
      </c>
      <c r="B52" s="88" t="s">
        <v>39</v>
      </c>
      <c r="C52" s="88" t="s">
        <v>48</v>
      </c>
      <c r="D52" s="88" t="s">
        <v>49</v>
      </c>
      <c r="E52" s="88" t="s">
        <v>41</v>
      </c>
      <c r="F52" s="88" t="s">
        <v>45</v>
      </c>
      <c r="G52" s="88" t="s">
        <v>43</v>
      </c>
    </row>
    <row r="53" spans="1:13" ht="18" customHeight="1">
      <c r="A53" s="90" t="s">
        <v>52</v>
      </c>
      <c r="B53" s="88">
        <f t="shared" ref="B53:B55" si="23">G53/(20/1)</f>
        <v>8</v>
      </c>
      <c r="C53" s="88">
        <v>7.2</v>
      </c>
      <c r="D53" s="88">
        <v>3.4870000000000001</v>
      </c>
      <c r="E53" s="88">
        <v>0.9</v>
      </c>
      <c r="F53" s="88">
        <f>ROUND((C53^2+D53^2)^0.5,2)</f>
        <v>8</v>
      </c>
      <c r="G53" s="88">
        <f>F53*1*20</f>
        <v>160</v>
      </c>
    </row>
    <row r="54" spans="1:13" ht="18" customHeight="1">
      <c r="A54" s="90" t="s">
        <v>52</v>
      </c>
      <c r="B54" s="88">
        <f t="shared" si="23"/>
        <v>10</v>
      </c>
      <c r="C54" s="88">
        <v>9</v>
      </c>
      <c r="D54" s="88">
        <v>4.359</v>
      </c>
      <c r="E54" s="88">
        <v>0.9</v>
      </c>
      <c r="F54" s="88">
        <f>ROUND((C54^2+D54^2)^0.5,2)</f>
        <v>10</v>
      </c>
      <c r="G54" s="88">
        <f>F54*1*20</f>
        <v>200</v>
      </c>
    </row>
    <row r="55" spans="1:13" ht="18" customHeight="1">
      <c r="A55" s="90" t="s">
        <v>52</v>
      </c>
      <c r="B55" s="88">
        <f t="shared" si="23"/>
        <v>20</v>
      </c>
      <c r="C55" s="88">
        <v>18</v>
      </c>
      <c r="D55" s="88">
        <v>8.7200000000000006</v>
      </c>
      <c r="E55" s="88">
        <v>0.9</v>
      </c>
      <c r="F55" s="88">
        <f>ROUND((C55^2+D55^2)^0.5,2)</f>
        <v>20</v>
      </c>
      <c r="G55" s="88">
        <f>F55*1*20</f>
        <v>400</v>
      </c>
    </row>
    <row r="58" spans="1:13" ht="18" customHeight="1">
      <c r="A58" s="93" t="s">
        <v>152</v>
      </c>
    </row>
    <row r="59" spans="1:13" ht="18" customHeight="1">
      <c r="A59" s="88" t="s">
        <v>67</v>
      </c>
      <c r="B59" s="88" t="s">
        <v>64</v>
      </c>
      <c r="C59" s="88" t="s">
        <v>65</v>
      </c>
      <c r="D59" s="88" t="s">
        <v>66</v>
      </c>
      <c r="E59" s="88" t="s">
        <v>69</v>
      </c>
      <c r="F59" s="88" t="s">
        <v>70</v>
      </c>
      <c r="G59" s="88" t="s">
        <v>71</v>
      </c>
      <c r="I59" s="88" t="s">
        <v>68</v>
      </c>
      <c r="J59" s="88" t="s">
        <v>64</v>
      </c>
      <c r="K59" s="88" t="s">
        <v>65</v>
      </c>
      <c r="M59" s="88" t="s">
        <v>60</v>
      </c>
    </row>
    <row r="60" spans="1:13" ht="18" customHeight="1">
      <c r="A60" s="88" t="s">
        <v>61</v>
      </c>
      <c r="B60" s="88">
        <v>0.15</v>
      </c>
      <c r="C60" s="90" t="s">
        <v>52</v>
      </c>
      <c r="D60" s="88">
        <v>0.15</v>
      </c>
      <c r="E60" s="88">
        <v>7.5</v>
      </c>
      <c r="F60" s="90" t="s">
        <v>52</v>
      </c>
      <c r="G60" s="88">
        <f>E60*2</f>
        <v>15</v>
      </c>
      <c r="I60" s="89" t="s">
        <v>1</v>
      </c>
      <c r="J60" s="88">
        <v>3</v>
      </c>
      <c r="K60" s="88">
        <v>10</v>
      </c>
      <c r="M60" s="88">
        <v>1</v>
      </c>
    </row>
    <row r="61" spans="1:13" ht="18" customHeight="1">
      <c r="A61" s="88">
        <v>0.15</v>
      </c>
      <c r="B61" s="88">
        <v>0.15</v>
      </c>
      <c r="C61" s="90" t="s">
        <v>52</v>
      </c>
      <c r="D61" s="88">
        <v>0.3</v>
      </c>
      <c r="E61" s="88">
        <v>7.5</v>
      </c>
      <c r="F61" s="90" t="s">
        <v>52</v>
      </c>
      <c r="G61" s="88">
        <f>E61*2</f>
        <v>15</v>
      </c>
      <c r="I61" s="88" t="s">
        <v>72</v>
      </c>
      <c r="J61" s="88">
        <v>3</v>
      </c>
      <c r="K61" s="88">
        <v>10</v>
      </c>
      <c r="M61" s="88">
        <v>1.33</v>
      </c>
    </row>
    <row r="62" spans="1:13" ht="18" customHeight="1">
      <c r="A62" s="88" t="s">
        <v>62</v>
      </c>
      <c r="B62" s="88">
        <v>0.15</v>
      </c>
      <c r="C62" s="88">
        <v>0.3</v>
      </c>
      <c r="D62" s="90" t="s">
        <v>52</v>
      </c>
      <c r="E62" s="88">
        <v>8</v>
      </c>
      <c r="F62" s="88">
        <f>E62*2</f>
        <v>16</v>
      </c>
      <c r="G62" s="90" t="s">
        <v>52</v>
      </c>
      <c r="I62" s="89" t="s">
        <v>40</v>
      </c>
      <c r="J62" s="88">
        <v>1</v>
      </c>
      <c r="K62" s="90" t="s">
        <v>52</v>
      </c>
      <c r="M62" s="88">
        <v>1.5</v>
      </c>
    </row>
    <row r="63" spans="1:13" ht="18" customHeight="1">
      <c r="A63" s="88" t="s">
        <v>63</v>
      </c>
      <c r="B63" s="88">
        <v>0.3</v>
      </c>
      <c r="C63" s="90" t="s">
        <v>52</v>
      </c>
      <c r="D63" s="88">
        <v>0.3</v>
      </c>
      <c r="E63" s="88">
        <v>16</v>
      </c>
      <c r="F63" s="90" t="s">
        <v>52</v>
      </c>
      <c r="G63" s="90">
        <v>16</v>
      </c>
      <c r="M63" s="88">
        <v>2</v>
      </c>
    </row>
    <row r="64" spans="1:13" ht="18" customHeight="1">
      <c r="A64" s="88">
        <v>0.3</v>
      </c>
      <c r="B64" s="88">
        <v>0.3</v>
      </c>
      <c r="C64" s="88">
        <v>0.6</v>
      </c>
      <c r="D64" s="90" t="s">
        <v>52</v>
      </c>
      <c r="E64" s="88">
        <v>16</v>
      </c>
      <c r="F64" s="88">
        <f>E64*2</f>
        <v>32</v>
      </c>
      <c r="G64" s="90" t="s">
        <v>52</v>
      </c>
      <c r="M64" s="88">
        <v>3</v>
      </c>
    </row>
    <row r="65" spans="1:13" ht="18" customHeight="1">
      <c r="A65" s="88">
        <v>0.6</v>
      </c>
      <c r="B65" s="88">
        <v>0.6</v>
      </c>
      <c r="C65" s="88">
        <v>1.2</v>
      </c>
      <c r="D65" s="90" t="s">
        <v>52</v>
      </c>
      <c r="E65" s="88">
        <v>32</v>
      </c>
      <c r="F65" s="88">
        <f>E65*2</f>
        <v>64</v>
      </c>
      <c r="G65" s="90" t="s">
        <v>52</v>
      </c>
      <c r="M65" s="88">
        <v>4</v>
      </c>
    </row>
    <row r="66" spans="1:13" ht="18" customHeight="1">
      <c r="A66" s="88">
        <v>1.2</v>
      </c>
      <c r="B66" s="88">
        <v>1.2</v>
      </c>
      <c r="C66" s="88">
        <v>2.4</v>
      </c>
      <c r="D66" s="90" t="s">
        <v>52</v>
      </c>
      <c r="E66" s="88">
        <v>64</v>
      </c>
      <c r="F66" s="88">
        <f>E66*2</f>
        <v>128</v>
      </c>
      <c r="G66" s="90" t="s">
        <v>52</v>
      </c>
    </row>
    <row r="68" spans="1:13" ht="18" customHeight="1">
      <c r="A68" s="93" t="s">
        <v>59</v>
      </c>
      <c r="I68" s="93" t="s">
        <v>465</v>
      </c>
    </row>
    <row r="69" spans="1:13" ht="18" customHeight="1">
      <c r="A69" s="88" t="s">
        <v>42</v>
      </c>
      <c r="B69" s="88" t="s">
        <v>39</v>
      </c>
      <c r="C69" s="88" t="s">
        <v>46</v>
      </c>
      <c r="D69" s="88" t="s">
        <v>47</v>
      </c>
      <c r="E69" s="88" t="s">
        <v>41</v>
      </c>
      <c r="F69" s="88" t="s">
        <v>44</v>
      </c>
      <c r="G69" s="88" t="s">
        <v>43</v>
      </c>
      <c r="I69" s="88" t="s">
        <v>39</v>
      </c>
      <c r="J69" s="88" t="s">
        <v>48</v>
      </c>
      <c r="K69" s="88" t="s">
        <v>49</v>
      </c>
      <c r="L69" s="88" t="s">
        <v>45</v>
      </c>
    </row>
    <row r="70" spans="1:13" ht="18" customHeight="1">
      <c r="A70" s="88" t="str">
        <f>"B-"&amp;F70</f>
        <v>B-0.1</v>
      </c>
      <c r="B70" s="88">
        <f>G70/(20/5)</f>
        <v>2.5</v>
      </c>
      <c r="C70" s="88">
        <v>0.09</v>
      </c>
      <c r="D70" s="88">
        <f>ROUND(0.116/1000*2*PI()*60,3)</f>
        <v>4.3999999999999997E-2</v>
      </c>
      <c r="E70" s="88">
        <v>0.9</v>
      </c>
      <c r="F70" s="88">
        <f>ROUND((C70^2+D70^2)^0.5,2)</f>
        <v>0.1</v>
      </c>
      <c r="G70" s="88">
        <f>F70*5*20</f>
        <v>10</v>
      </c>
      <c r="I70" s="88">
        <f>B70/(5/1)^2</f>
        <v>0.1</v>
      </c>
      <c r="J70" s="88">
        <f t="shared" ref="J70:K74" si="24">C70</f>
        <v>0.09</v>
      </c>
      <c r="K70" s="88">
        <f t="shared" si="24"/>
        <v>4.3999999999999997E-2</v>
      </c>
      <c r="L70" s="88">
        <f>ROUND((J70^2+K70^2)^0.5,2)</f>
        <v>0.1</v>
      </c>
    </row>
    <row r="71" spans="1:13" ht="18" customHeight="1">
      <c r="A71" s="88" t="str">
        <f t="shared" ref="A71:A74" si="25">"B-"&amp;F71</f>
        <v>B-0.2</v>
      </c>
      <c r="B71" s="88">
        <f>G71/(20/5)</f>
        <v>5</v>
      </c>
      <c r="C71" s="88">
        <v>0.18</v>
      </c>
      <c r="D71" s="88">
        <f>ROUND(0.232/1000*2*PI()*60,3)</f>
        <v>8.6999999999999994E-2</v>
      </c>
      <c r="E71" s="88">
        <v>0.9</v>
      </c>
      <c r="F71" s="88">
        <f t="shared" ref="F71:F74" si="26">ROUND((C71^2+D71^2)^0.5,2)</f>
        <v>0.2</v>
      </c>
      <c r="G71" s="88">
        <f t="shared" ref="G71:G74" si="27">F71*5*20</f>
        <v>20</v>
      </c>
      <c r="I71" s="88">
        <f>B71/(5/1)^2</f>
        <v>0.2</v>
      </c>
      <c r="J71" s="88">
        <f t="shared" si="24"/>
        <v>0.18</v>
      </c>
      <c r="K71" s="88">
        <f t="shared" si="24"/>
        <v>8.6999999999999994E-2</v>
      </c>
      <c r="L71" s="88">
        <f t="shared" ref="L71:L74" si="28">ROUND((J71^2+K71^2)^0.5,2)</f>
        <v>0.2</v>
      </c>
    </row>
    <row r="72" spans="1:13" ht="18" customHeight="1">
      <c r="A72" s="88" t="str">
        <f t="shared" si="25"/>
        <v>B-0.5</v>
      </c>
      <c r="B72" s="88">
        <f>G72/(20/5)</f>
        <v>12.5</v>
      </c>
      <c r="C72" s="88">
        <v>0.45</v>
      </c>
      <c r="D72" s="88">
        <f>ROUND(0.58/1000*2*PI()*60,3)</f>
        <v>0.219</v>
      </c>
      <c r="E72" s="88">
        <v>0.9</v>
      </c>
      <c r="F72" s="88">
        <f t="shared" si="26"/>
        <v>0.5</v>
      </c>
      <c r="G72" s="88">
        <f t="shared" si="27"/>
        <v>50</v>
      </c>
      <c r="I72" s="88">
        <f>B72/(5/1)^2</f>
        <v>0.5</v>
      </c>
      <c r="J72" s="88">
        <f t="shared" si="24"/>
        <v>0.45</v>
      </c>
      <c r="K72" s="88">
        <f t="shared" si="24"/>
        <v>0.219</v>
      </c>
      <c r="L72" s="88">
        <f t="shared" si="28"/>
        <v>0.5</v>
      </c>
    </row>
    <row r="73" spans="1:13" ht="18" customHeight="1">
      <c r="A73" s="88" t="str">
        <f t="shared" si="25"/>
        <v>B-0.9</v>
      </c>
      <c r="B73" s="88">
        <f>G73/(20/5)</f>
        <v>22.5</v>
      </c>
      <c r="C73" s="88">
        <v>0.81</v>
      </c>
      <c r="D73" s="88">
        <f>ROUND(1.04/1000*2*PI()*60,3)</f>
        <v>0.39200000000000002</v>
      </c>
      <c r="E73" s="88">
        <v>0.9</v>
      </c>
      <c r="F73" s="88">
        <f t="shared" si="26"/>
        <v>0.9</v>
      </c>
      <c r="G73" s="88">
        <f t="shared" si="27"/>
        <v>90</v>
      </c>
      <c r="I73" s="88">
        <f>B73/(5/1)^2</f>
        <v>0.9</v>
      </c>
      <c r="J73" s="88">
        <f t="shared" si="24"/>
        <v>0.81</v>
      </c>
      <c r="K73" s="88">
        <f t="shared" si="24"/>
        <v>0.39200000000000002</v>
      </c>
      <c r="L73" s="88">
        <f t="shared" si="28"/>
        <v>0.9</v>
      </c>
    </row>
    <row r="74" spans="1:13" ht="18" customHeight="1">
      <c r="A74" s="88" t="str">
        <f t="shared" si="25"/>
        <v>B-1.8</v>
      </c>
      <c r="B74" s="88">
        <f>G74/(20/5)</f>
        <v>45</v>
      </c>
      <c r="C74" s="88">
        <v>1.62</v>
      </c>
      <c r="D74" s="88">
        <f>ROUND(2.08/1000*2*PI()*60,3)</f>
        <v>0.78400000000000003</v>
      </c>
      <c r="E74" s="88">
        <v>0.9</v>
      </c>
      <c r="F74" s="88">
        <f t="shared" si="26"/>
        <v>1.8</v>
      </c>
      <c r="G74" s="88">
        <f t="shared" si="27"/>
        <v>180</v>
      </c>
      <c r="I74" s="88">
        <f>B74/(5/1)^2</f>
        <v>1.8</v>
      </c>
      <c r="J74" s="88">
        <f t="shared" si="24"/>
        <v>1.62</v>
      </c>
      <c r="K74" s="88">
        <f t="shared" si="24"/>
        <v>0.78400000000000003</v>
      </c>
      <c r="L74" s="88">
        <f t="shared" si="28"/>
        <v>1.8</v>
      </c>
    </row>
    <row r="76" spans="1:13" ht="18" customHeight="1">
      <c r="A76" s="93" t="s">
        <v>153</v>
      </c>
      <c r="I76" s="93" t="s">
        <v>466</v>
      </c>
    </row>
    <row r="77" spans="1:13" ht="18" customHeight="1">
      <c r="A77" s="88" t="s">
        <v>42</v>
      </c>
      <c r="B77" s="88" t="s">
        <v>39</v>
      </c>
      <c r="C77" s="88" t="s">
        <v>46</v>
      </c>
      <c r="D77" s="88" t="s">
        <v>47</v>
      </c>
      <c r="E77" s="88" t="s">
        <v>41</v>
      </c>
      <c r="F77" s="88" t="s">
        <v>44</v>
      </c>
      <c r="G77" s="88" t="s">
        <v>43</v>
      </c>
      <c r="I77" s="88" t="s">
        <v>39</v>
      </c>
      <c r="J77" s="88" t="s">
        <v>48</v>
      </c>
      <c r="K77" s="88" t="s">
        <v>49</v>
      </c>
      <c r="L77" s="88" t="s">
        <v>45</v>
      </c>
      <c r="M77" s="88" t="s">
        <v>43</v>
      </c>
    </row>
    <row r="78" spans="1:13" ht="18" customHeight="1">
      <c r="A78" s="88" t="str">
        <f>"B-"&amp;F78</f>
        <v>B-0.1</v>
      </c>
      <c r="B78" s="88">
        <f>G78/(20/5)</f>
        <v>2.5</v>
      </c>
      <c r="C78" s="88">
        <v>0.09</v>
      </c>
      <c r="D78" s="88">
        <f>ROUND(0.116/1000*2*PI()*60,3)</f>
        <v>4.3999999999999997E-2</v>
      </c>
      <c r="E78" s="88">
        <v>0.9</v>
      </c>
      <c r="F78" s="88">
        <f>ROUND((C78^2+D78^2)^0.5,1)</f>
        <v>0.1</v>
      </c>
      <c r="G78" s="88">
        <f>F78*5*20</f>
        <v>10</v>
      </c>
      <c r="I78" s="88">
        <f>L78*1^2</f>
        <v>0.5</v>
      </c>
      <c r="J78" s="88">
        <f>M78/20/1*E78</f>
        <v>0.45</v>
      </c>
      <c r="K78" s="88">
        <f>ROUND((L78^2-J78^2)^0.5,1)</f>
        <v>0.2</v>
      </c>
      <c r="L78" s="88">
        <f>M78/20/1</f>
        <v>0.5</v>
      </c>
      <c r="M78" s="88">
        <f>G78</f>
        <v>10</v>
      </c>
    </row>
    <row r="79" spans="1:13" ht="18" customHeight="1">
      <c r="A79" s="88" t="str">
        <f t="shared" ref="A79:A81" si="29">"B-"&amp;F79</f>
        <v>B-0.2</v>
      </c>
      <c r="B79" s="88">
        <f t="shared" ref="B79:B84" si="30">G79/(20/5)</f>
        <v>5</v>
      </c>
      <c r="C79" s="88">
        <v>0.18</v>
      </c>
      <c r="D79" s="88">
        <f>ROUND(0.232/1000*2*PI()*60,3)</f>
        <v>8.6999999999999994E-2</v>
      </c>
      <c r="E79" s="88">
        <v>0.9</v>
      </c>
      <c r="F79" s="88">
        <f t="shared" ref="F79:F84" si="31">ROUND((C79^2+D79^2)^0.5,1)</f>
        <v>0.2</v>
      </c>
      <c r="G79" s="88">
        <f t="shared" ref="G79:G81" si="32">F79*5*20</f>
        <v>20</v>
      </c>
      <c r="I79" s="88">
        <f t="shared" ref="I79:I84" si="33">L79*1^2</f>
        <v>1</v>
      </c>
      <c r="J79" s="88">
        <f t="shared" ref="J79:J84" si="34">M79/20/1*E79</f>
        <v>0.9</v>
      </c>
      <c r="K79" s="88">
        <f t="shared" ref="K79:K84" si="35">ROUND((L79^2-J79^2)^0.5,1)</f>
        <v>0.4</v>
      </c>
      <c r="L79" s="88">
        <f t="shared" ref="L79:L84" si="36">M79/20/1</f>
        <v>1</v>
      </c>
      <c r="M79" s="88">
        <f t="shared" ref="M79:M84" si="37">G79</f>
        <v>20</v>
      </c>
    </row>
    <row r="80" spans="1:13" ht="18" customHeight="1">
      <c r="A80" s="88" t="str">
        <f t="shared" si="29"/>
        <v>B-0.5</v>
      </c>
      <c r="B80" s="88">
        <f t="shared" si="30"/>
        <v>12.5</v>
      </c>
      <c r="C80" s="88">
        <v>0.45</v>
      </c>
      <c r="D80" s="88">
        <f>ROUND(0.58/1000*2*PI()*60,3)</f>
        <v>0.219</v>
      </c>
      <c r="E80" s="88">
        <v>0.9</v>
      </c>
      <c r="F80" s="88">
        <f t="shared" si="31"/>
        <v>0.5</v>
      </c>
      <c r="G80" s="88">
        <f t="shared" si="32"/>
        <v>50</v>
      </c>
      <c r="I80" s="88">
        <f t="shared" si="33"/>
        <v>2.5</v>
      </c>
      <c r="J80" s="88">
        <f t="shared" si="34"/>
        <v>2.25</v>
      </c>
      <c r="K80" s="88">
        <f t="shared" si="35"/>
        <v>1.1000000000000001</v>
      </c>
      <c r="L80" s="88">
        <f t="shared" si="36"/>
        <v>2.5</v>
      </c>
      <c r="M80" s="88">
        <f t="shared" si="37"/>
        <v>50</v>
      </c>
    </row>
    <row r="81" spans="1:28" ht="18" customHeight="1">
      <c r="A81" s="88" t="str">
        <f t="shared" si="29"/>
        <v>B-1</v>
      </c>
      <c r="B81" s="88">
        <f t="shared" si="30"/>
        <v>25</v>
      </c>
      <c r="C81" s="88">
        <v>0.5</v>
      </c>
      <c r="D81" s="88">
        <f>ROUND(2.3/1000*2*PI()*60,3)</f>
        <v>0.86699999999999999</v>
      </c>
      <c r="E81" s="88">
        <v>0.9</v>
      </c>
      <c r="F81" s="88">
        <f t="shared" si="31"/>
        <v>1</v>
      </c>
      <c r="G81" s="88">
        <f t="shared" si="32"/>
        <v>100</v>
      </c>
      <c r="I81" s="88">
        <f t="shared" si="33"/>
        <v>5</v>
      </c>
      <c r="J81" s="88">
        <f t="shared" si="34"/>
        <v>4.5</v>
      </c>
      <c r="K81" s="88">
        <f t="shared" si="35"/>
        <v>2.2000000000000002</v>
      </c>
      <c r="L81" s="88">
        <f t="shared" si="36"/>
        <v>5</v>
      </c>
      <c r="M81" s="88">
        <f t="shared" si="37"/>
        <v>100</v>
      </c>
    </row>
    <row r="82" spans="1:28" ht="18" customHeight="1">
      <c r="A82" s="88" t="str">
        <f t="shared" ref="A82:A84" si="38">"B-"&amp;F82</f>
        <v>B-2</v>
      </c>
      <c r="B82" s="88">
        <f t="shared" si="30"/>
        <v>50</v>
      </c>
      <c r="C82" s="88">
        <v>1</v>
      </c>
      <c r="D82" s="88">
        <f>ROUND(4.6/1000*2*PI()*60,3)</f>
        <v>1.734</v>
      </c>
      <c r="E82" s="88">
        <v>0.5</v>
      </c>
      <c r="F82" s="88">
        <f t="shared" si="31"/>
        <v>2</v>
      </c>
      <c r="G82" s="88">
        <f t="shared" ref="G82:G84" si="39">F82*5*20</f>
        <v>200</v>
      </c>
      <c r="I82" s="88">
        <f t="shared" si="33"/>
        <v>10</v>
      </c>
      <c r="J82" s="88">
        <f t="shared" si="34"/>
        <v>5</v>
      </c>
      <c r="K82" s="88">
        <f t="shared" si="35"/>
        <v>8.6999999999999993</v>
      </c>
      <c r="L82" s="88">
        <f t="shared" si="36"/>
        <v>10</v>
      </c>
      <c r="M82" s="88">
        <f t="shared" si="37"/>
        <v>200</v>
      </c>
    </row>
    <row r="83" spans="1:28" ht="18" customHeight="1">
      <c r="A83" s="88" t="str">
        <f t="shared" si="38"/>
        <v>B-4</v>
      </c>
      <c r="B83" s="88">
        <f t="shared" si="30"/>
        <v>100</v>
      </c>
      <c r="C83" s="88">
        <v>2</v>
      </c>
      <c r="D83" s="88">
        <f>ROUND(9.2/1000*2*PI()*60,3)</f>
        <v>3.468</v>
      </c>
      <c r="E83" s="88">
        <v>0.5</v>
      </c>
      <c r="F83" s="88">
        <f t="shared" si="31"/>
        <v>4</v>
      </c>
      <c r="G83" s="88">
        <f t="shared" si="39"/>
        <v>400</v>
      </c>
      <c r="I83" s="88">
        <f t="shared" si="33"/>
        <v>20</v>
      </c>
      <c r="J83" s="88">
        <f t="shared" si="34"/>
        <v>10</v>
      </c>
      <c r="K83" s="88">
        <f t="shared" si="35"/>
        <v>17.3</v>
      </c>
      <c r="L83" s="88">
        <f t="shared" si="36"/>
        <v>20</v>
      </c>
      <c r="M83" s="88">
        <f t="shared" si="37"/>
        <v>400</v>
      </c>
    </row>
    <row r="84" spans="1:28" ht="18" customHeight="1">
      <c r="A84" s="88" t="str">
        <f t="shared" si="38"/>
        <v>B-8</v>
      </c>
      <c r="B84" s="88">
        <f t="shared" si="30"/>
        <v>200</v>
      </c>
      <c r="C84" s="88">
        <v>4</v>
      </c>
      <c r="D84" s="88">
        <f>ROUND(18.4/1000*2*PI()*60,3)</f>
        <v>6.9370000000000003</v>
      </c>
      <c r="E84" s="88">
        <v>0.5</v>
      </c>
      <c r="F84" s="88">
        <f t="shared" si="31"/>
        <v>8</v>
      </c>
      <c r="G84" s="88">
        <f t="shared" si="39"/>
        <v>800</v>
      </c>
      <c r="I84" s="88">
        <f t="shared" si="33"/>
        <v>40</v>
      </c>
      <c r="J84" s="88">
        <f t="shared" si="34"/>
        <v>20</v>
      </c>
      <c r="K84" s="88">
        <f t="shared" si="35"/>
        <v>34.6</v>
      </c>
      <c r="L84" s="88">
        <f t="shared" si="36"/>
        <v>40</v>
      </c>
      <c r="M84" s="88">
        <f t="shared" si="37"/>
        <v>800</v>
      </c>
    </row>
    <row r="87" spans="1:28" ht="18" customHeight="1">
      <c r="A87" s="93" t="s">
        <v>539</v>
      </c>
      <c r="I87" s="251" t="s">
        <v>538</v>
      </c>
      <c r="J87" s="249"/>
      <c r="K87" s="249"/>
      <c r="L87" s="249"/>
    </row>
    <row r="88" spans="1:28" ht="18" customHeight="1">
      <c r="A88" s="96">
        <v>600</v>
      </c>
      <c r="B88" s="96">
        <f>A88+1</f>
        <v>601</v>
      </c>
      <c r="C88" s="96">
        <f>B88+1</f>
        <v>602</v>
      </c>
      <c r="D88" s="96">
        <f>C88+1</f>
        <v>603</v>
      </c>
      <c r="E88" s="96">
        <f>E89</f>
        <v>1200</v>
      </c>
      <c r="F88" s="96">
        <f>E88+1</f>
        <v>1201</v>
      </c>
      <c r="G88" s="96">
        <f>F88+1</f>
        <v>1202</v>
      </c>
      <c r="H88" s="96">
        <f>G88+1</f>
        <v>1203</v>
      </c>
      <c r="I88" s="249">
        <f t="shared" ref="I88:I96" si="40">U88/2.5</f>
        <v>1600</v>
      </c>
      <c r="J88" s="250">
        <f>I88+1</f>
        <v>1601</v>
      </c>
      <c r="K88" s="250">
        <f>J88+1</f>
        <v>1602</v>
      </c>
      <c r="L88" s="250">
        <f>K88+1</f>
        <v>1603</v>
      </c>
      <c r="M88" s="96">
        <f>M89</f>
        <v>2000</v>
      </c>
      <c r="N88" s="96">
        <f>M88+1</f>
        <v>2001</v>
      </c>
      <c r="O88" s="96">
        <f>N88+1</f>
        <v>2002</v>
      </c>
      <c r="P88" s="96">
        <f>O88+1</f>
        <v>2003</v>
      </c>
      <c r="Q88" s="96">
        <f>Q89</f>
        <v>3000</v>
      </c>
      <c r="R88" s="96">
        <f>Q88+1</f>
        <v>3001</v>
      </c>
      <c r="S88" s="96">
        <f>R88+1</f>
        <v>3002</v>
      </c>
      <c r="T88" s="96">
        <f>S88+1</f>
        <v>3003</v>
      </c>
      <c r="U88" s="96">
        <f>U89</f>
        <v>4000</v>
      </c>
      <c r="V88" s="96">
        <f>U88+1</f>
        <v>4001</v>
      </c>
      <c r="W88" s="96">
        <f>V88+1</f>
        <v>4002</v>
      </c>
      <c r="X88" s="96">
        <f>W88+1</f>
        <v>4003</v>
      </c>
      <c r="Y88" s="96">
        <f>Y89</f>
        <v>5000</v>
      </c>
      <c r="Z88" s="96">
        <f>Y88+1</f>
        <v>5001</v>
      </c>
      <c r="AA88" s="96">
        <f>Z88+1</f>
        <v>5002</v>
      </c>
      <c r="AB88" s="96">
        <f>AA88+1</f>
        <v>5003</v>
      </c>
    </row>
    <row r="89" spans="1:28" ht="18" customHeight="1">
      <c r="A89" s="88">
        <f>A88</f>
        <v>600</v>
      </c>
      <c r="B89" s="88">
        <v>1</v>
      </c>
      <c r="C89" s="88">
        <v>5</v>
      </c>
      <c r="D89" s="88">
        <f>A97</f>
        <v>100</v>
      </c>
      <c r="E89" s="88">
        <f t="shared" ref="E89:E98" si="41">A89*2</f>
        <v>1200</v>
      </c>
      <c r="F89" s="88">
        <v>1</v>
      </c>
      <c r="G89" s="88">
        <v>5</v>
      </c>
      <c r="H89" s="88">
        <f>E97</f>
        <v>200</v>
      </c>
      <c r="I89" s="249">
        <f t="shared" si="40"/>
        <v>1600</v>
      </c>
      <c r="J89" s="249">
        <f>V89</f>
        <v>1</v>
      </c>
      <c r="K89" s="249">
        <f t="shared" ref="K89:K98" si="42">W89</f>
        <v>5</v>
      </c>
      <c r="L89" s="249">
        <f t="shared" ref="L89:L98" si="43">X89/2.5</f>
        <v>200</v>
      </c>
      <c r="M89" s="88">
        <v>2000</v>
      </c>
      <c r="N89" s="88">
        <v>1</v>
      </c>
      <c r="O89" s="88">
        <v>5</v>
      </c>
      <c r="P89" s="88">
        <f>M96</f>
        <v>400</v>
      </c>
      <c r="Q89" s="88">
        <v>3000</v>
      </c>
      <c r="R89" s="88">
        <v>1</v>
      </c>
      <c r="S89" s="88">
        <v>5</v>
      </c>
      <c r="T89" s="88">
        <f>Q95</f>
        <v>1000</v>
      </c>
      <c r="U89" s="88">
        <v>4000</v>
      </c>
      <c r="V89" s="88">
        <v>1</v>
      </c>
      <c r="W89" s="88">
        <v>5</v>
      </c>
      <c r="X89" s="88">
        <v>500</v>
      </c>
      <c r="Y89" s="88">
        <v>5000</v>
      </c>
      <c r="Z89" s="88">
        <v>1</v>
      </c>
      <c r="AA89" s="88">
        <v>5</v>
      </c>
      <c r="AB89" s="88">
        <f>Y95</f>
        <v>1500</v>
      </c>
    </row>
    <row r="90" spans="1:28" ht="18" customHeight="1">
      <c r="A90" s="88">
        <v>500</v>
      </c>
      <c r="B90" s="88">
        <v>2</v>
      </c>
      <c r="C90" s="88">
        <v>5</v>
      </c>
      <c r="D90" s="88">
        <f>A98</f>
        <v>50</v>
      </c>
      <c r="E90" s="88">
        <f t="shared" si="41"/>
        <v>1000</v>
      </c>
      <c r="F90" s="88">
        <v>2</v>
      </c>
      <c r="G90" s="88">
        <v>5</v>
      </c>
      <c r="H90" s="88">
        <f>E98</f>
        <v>100</v>
      </c>
      <c r="I90" s="249">
        <f t="shared" si="40"/>
        <v>1400</v>
      </c>
      <c r="J90" s="249">
        <f t="shared" ref="J90:J92" si="44">V90</f>
        <v>2</v>
      </c>
      <c r="K90" s="249">
        <f t="shared" si="42"/>
        <v>5</v>
      </c>
      <c r="L90" s="249">
        <f t="shared" si="43"/>
        <v>600</v>
      </c>
      <c r="M90" s="88">
        <v>1600</v>
      </c>
      <c r="N90" s="88">
        <v>2</v>
      </c>
      <c r="O90" s="88">
        <v>5</v>
      </c>
      <c r="P90" s="88">
        <f>M94</f>
        <v>800</v>
      </c>
      <c r="Q90" s="88">
        <v>2500</v>
      </c>
      <c r="R90" s="88">
        <v>1</v>
      </c>
      <c r="S90" s="88">
        <v>4</v>
      </c>
      <c r="T90" s="88">
        <f>Q94</f>
        <v>1200</v>
      </c>
      <c r="U90" s="88">
        <v>3500</v>
      </c>
      <c r="V90" s="88">
        <v>2</v>
      </c>
      <c r="W90" s="88">
        <v>5</v>
      </c>
      <c r="X90" s="88">
        <v>1500</v>
      </c>
      <c r="Y90" s="88">
        <v>4000</v>
      </c>
      <c r="Z90" s="88">
        <v>1</v>
      </c>
      <c r="AA90" s="88">
        <v>4</v>
      </c>
      <c r="AB90" s="88">
        <f>Y97</f>
        <v>500</v>
      </c>
    </row>
    <row r="91" spans="1:28" ht="18" customHeight="1">
      <c r="A91" s="88">
        <v>450</v>
      </c>
      <c r="B91" s="88">
        <v>3</v>
      </c>
      <c r="C91" s="88">
        <v>5</v>
      </c>
      <c r="D91" s="88">
        <f>A94</f>
        <v>250</v>
      </c>
      <c r="E91" s="88">
        <f t="shared" si="41"/>
        <v>900</v>
      </c>
      <c r="F91" s="88">
        <v>3</v>
      </c>
      <c r="G91" s="88">
        <v>5</v>
      </c>
      <c r="H91" s="88">
        <f>E94</f>
        <v>500</v>
      </c>
      <c r="I91" s="249">
        <f t="shared" si="40"/>
        <v>1200</v>
      </c>
      <c r="J91" s="249">
        <f t="shared" si="44"/>
        <v>1</v>
      </c>
      <c r="K91" s="249">
        <f t="shared" si="42"/>
        <v>4</v>
      </c>
      <c r="L91" s="249">
        <f t="shared" si="43"/>
        <v>400</v>
      </c>
      <c r="M91" s="88">
        <v>1500</v>
      </c>
      <c r="N91" s="88">
        <v>1</v>
      </c>
      <c r="O91" s="88">
        <v>4</v>
      </c>
      <c r="P91" s="88">
        <f>M97</f>
        <v>300</v>
      </c>
      <c r="Q91" s="88">
        <v>2200</v>
      </c>
      <c r="R91" s="88">
        <v>1</v>
      </c>
      <c r="S91" s="88">
        <v>3</v>
      </c>
      <c r="T91" s="88">
        <f>Q98</f>
        <v>300</v>
      </c>
      <c r="U91" s="88">
        <v>3000</v>
      </c>
      <c r="V91" s="88">
        <v>1</v>
      </c>
      <c r="W91" s="88">
        <v>4</v>
      </c>
      <c r="X91" s="88">
        <v>1000</v>
      </c>
      <c r="Y91" s="88">
        <v>3500</v>
      </c>
      <c r="Z91" s="88">
        <v>2</v>
      </c>
      <c r="AA91" s="88">
        <v>5</v>
      </c>
      <c r="AB91" s="88">
        <f>Y94</f>
        <v>2000</v>
      </c>
    </row>
    <row r="92" spans="1:28" ht="18" customHeight="1">
      <c r="A92" s="88">
        <v>400</v>
      </c>
      <c r="B92" s="88">
        <v>1</v>
      </c>
      <c r="C92" s="88">
        <v>4</v>
      </c>
      <c r="D92" s="88">
        <f>A95</f>
        <v>200</v>
      </c>
      <c r="E92" s="88">
        <f t="shared" si="41"/>
        <v>800</v>
      </c>
      <c r="F92" s="88">
        <v>1</v>
      </c>
      <c r="G92" s="88">
        <v>4</v>
      </c>
      <c r="H92" s="88">
        <f>E95</f>
        <v>400</v>
      </c>
      <c r="I92" s="249">
        <f t="shared" si="40"/>
        <v>1000</v>
      </c>
      <c r="J92" s="249">
        <f t="shared" si="44"/>
        <v>2</v>
      </c>
      <c r="K92" s="249">
        <f t="shared" si="42"/>
        <v>4</v>
      </c>
      <c r="L92" s="249">
        <f t="shared" si="43"/>
        <v>400</v>
      </c>
      <c r="M92" s="88">
        <v>1200</v>
      </c>
      <c r="N92" s="88">
        <v>1</v>
      </c>
      <c r="O92" s="88">
        <v>3</v>
      </c>
      <c r="P92" s="88">
        <f>M95</f>
        <v>500</v>
      </c>
      <c r="Q92" s="88">
        <v>2000</v>
      </c>
      <c r="R92" s="88">
        <v>2</v>
      </c>
      <c r="S92" s="88">
        <v>5</v>
      </c>
      <c r="T92" s="88">
        <f>Q97</f>
        <v>500</v>
      </c>
      <c r="U92" s="88">
        <v>2500</v>
      </c>
      <c r="V92" s="88">
        <v>2</v>
      </c>
      <c r="W92" s="88">
        <v>4</v>
      </c>
      <c r="X92" s="88">
        <v>1000</v>
      </c>
      <c r="Y92" s="88">
        <v>3000</v>
      </c>
      <c r="Z92" s="88">
        <v>3</v>
      </c>
      <c r="AA92" s="88">
        <v>5</v>
      </c>
      <c r="AB92" s="88">
        <f>Y96</f>
        <v>1000</v>
      </c>
    </row>
    <row r="93" spans="1:28" ht="18" customHeight="1">
      <c r="A93" s="88">
        <v>300</v>
      </c>
      <c r="B93" s="88">
        <v>2</v>
      </c>
      <c r="C93" s="88">
        <v>4</v>
      </c>
      <c r="E93" s="88">
        <f t="shared" si="41"/>
        <v>600</v>
      </c>
      <c r="F93" s="88">
        <v>2</v>
      </c>
      <c r="G93" s="88">
        <v>4</v>
      </c>
      <c r="I93" s="249">
        <f t="shared" si="40"/>
        <v>800</v>
      </c>
      <c r="J93" s="249">
        <f t="shared" ref="J93:J98" si="45">V93</f>
        <v>1</v>
      </c>
      <c r="K93" s="249">
        <f t="shared" si="42"/>
        <v>3</v>
      </c>
      <c r="L93" s="249">
        <f t="shared" si="43"/>
        <v>0</v>
      </c>
      <c r="M93" s="88">
        <v>1100</v>
      </c>
      <c r="N93" s="88">
        <v>2</v>
      </c>
      <c r="O93" s="88">
        <v>4</v>
      </c>
      <c r="Q93" s="88">
        <v>1500</v>
      </c>
      <c r="R93" s="88">
        <v>2</v>
      </c>
      <c r="S93" s="88">
        <v>4</v>
      </c>
      <c r="U93" s="88">
        <v>2000</v>
      </c>
      <c r="V93" s="88">
        <v>1</v>
      </c>
      <c r="W93" s="88">
        <v>3</v>
      </c>
      <c r="Y93" s="88">
        <v>2500</v>
      </c>
      <c r="Z93" s="88">
        <v>2</v>
      </c>
      <c r="AA93" s="88">
        <v>4</v>
      </c>
    </row>
    <row r="94" spans="1:28" ht="18" customHeight="1">
      <c r="A94" s="88">
        <v>250</v>
      </c>
      <c r="B94" s="88">
        <v>3</v>
      </c>
      <c r="C94" s="88">
        <v>4</v>
      </c>
      <c r="E94" s="88">
        <f t="shared" si="41"/>
        <v>500</v>
      </c>
      <c r="F94" s="88">
        <v>3</v>
      </c>
      <c r="G94" s="88">
        <v>4</v>
      </c>
      <c r="I94" s="249">
        <f t="shared" si="40"/>
        <v>600</v>
      </c>
      <c r="J94" s="249">
        <f t="shared" si="45"/>
        <v>2</v>
      </c>
      <c r="K94" s="249">
        <f t="shared" si="42"/>
        <v>3</v>
      </c>
      <c r="L94" s="249">
        <f t="shared" si="43"/>
        <v>0</v>
      </c>
      <c r="M94" s="88">
        <v>800</v>
      </c>
      <c r="N94" s="88">
        <v>2</v>
      </c>
      <c r="O94" s="88">
        <v>3</v>
      </c>
      <c r="Q94" s="88">
        <v>1200</v>
      </c>
      <c r="R94" s="88">
        <v>2</v>
      </c>
      <c r="S94" s="88">
        <v>3</v>
      </c>
      <c r="U94" s="88">
        <v>1500</v>
      </c>
      <c r="V94" s="88">
        <v>2</v>
      </c>
      <c r="W94" s="88">
        <v>3</v>
      </c>
      <c r="Y94" s="88">
        <v>2000</v>
      </c>
      <c r="Z94" s="88">
        <v>3</v>
      </c>
      <c r="AA94" s="88">
        <v>4</v>
      </c>
    </row>
    <row r="95" spans="1:28" ht="18" customHeight="1">
      <c r="A95" s="88">
        <v>200</v>
      </c>
      <c r="B95" s="88">
        <v>4</v>
      </c>
      <c r="C95" s="88">
        <v>5</v>
      </c>
      <c r="E95" s="88">
        <f t="shared" si="41"/>
        <v>400</v>
      </c>
      <c r="F95" s="88">
        <v>4</v>
      </c>
      <c r="G95" s="88">
        <v>5</v>
      </c>
      <c r="I95" s="249">
        <f t="shared" si="40"/>
        <v>400</v>
      </c>
      <c r="J95" s="249">
        <f t="shared" si="45"/>
        <v>3</v>
      </c>
      <c r="K95" s="249">
        <f t="shared" si="42"/>
        <v>4</v>
      </c>
      <c r="L95" s="249">
        <f t="shared" si="43"/>
        <v>0</v>
      </c>
      <c r="M95" s="88">
        <v>500</v>
      </c>
      <c r="N95" s="88">
        <v>4</v>
      </c>
      <c r="O95" s="88">
        <v>5</v>
      </c>
      <c r="Q95" s="88">
        <v>1000</v>
      </c>
      <c r="R95" s="88">
        <v>1</v>
      </c>
      <c r="S95" s="88">
        <v>2</v>
      </c>
      <c r="U95" s="88">
        <v>1000</v>
      </c>
      <c r="V95" s="88">
        <v>3</v>
      </c>
      <c r="W95" s="88">
        <v>4</v>
      </c>
      <c r="Y95" s="88">
        <v>1500</v>
      </c>
      <c r="Z95" s="88">
        <v>1</v>
      </c>
      <c r="AA95" s="88">
        <v>2</v>
      </c>
    </row>
    <row r="96" spans="1:28" ht="18" customHeight="1">
      <c r="A96" s="88">
        <v>150</v>
      </c>
      <c r="B96" s="88">
        <v>1</v>
      </c>
      <c r="C96" s="88">
        <v>3</v>
      </c>
      <c r="E96" s="88">
        <f t="shared" si="41"/>
        <v>300</v>
      </c>
      <c r="F96" s="88">
        <v>1</v>
      </c>
      <c r="G96" s="88">
        <v>3</v>
      </c>
      <c r="I96" s="249">
        <f t="shared" si="40"/>
        <v>200</v>
      </c>
      <c r="J96" s="249">
        <f t="shared" si="45"/>
        <v>1</v>
      </c>
      <c r="K96" s="249">
        <f t="shared" si="42"/>
        <v>2</v>
      </c>
      <c r="L96" s="249">
        <f t="shared" si="43"/>
        <v>0</v>
      </c>
      <c r="M96" s="88">
        <v>400</v>
      </c>
      <c r="N96" s="88">
        <v>1</v>
      </c>
      <c r="O96" s="88">
        <v>2</v>
      </c>
      <c r="Q96" s="88">
        <v>800</v>
      </c>
      <c r="R96" s="88">
        <v>3</v>
      </c>
      <c r="S96" s="88">
        <v>5</v>
      </c>
      <c r="U96" s="88">
        <v>500</v>
      </c>
      <c r="V96" s="88">
        <v>1</v>
      </c>
      <c r="W96" s="88">
        <v>2</v>
      </c>
      <c r="Y96" s="88">
        <v>1000</v>
      </c>
      <c r="Z96" s="88">
        <v>4</v>
      </c>
      <c r="AA96" s="88">
        <v>5</v>
      </c>
    </row>
    <row r="97" spans="1:27" ht="18" customHeight="1">
      <c r="A97" s="88">
        <v>100</v>
      </c>
      <c r="B97" s="88">
        <v>1</v>
      </c>
      <c r="C97" s="88">
        <v>2</v>
      </c>
      <c r="E97" s="88">
        <f t="shared" si="41"/>
        <v>200</v>
      </c>
      <c r="F97" s="88">
        <v>1</v>
      </c>
      <c r="G97" s="88">
        <v>2</v>
      </c>
      <c r="I97" s="249">
        <f t="shared" ref="I97:I98" si="46">U97/2.5</f>
        <v>0</v>
      </c>
      <c r="J97" s="249">
        <f t="shared" si="45"/>
        <v>0</v>
      </c>
      <c r="K97" s="249">
        <f t="shared" si="42"/>
        <v>0</v>
      </c>
      <c r="L97" s="249">
        <f t="shared" si="43"/>
        <v>0</v>
      </c>
      <c r="M97" s="88">
        <v>300</v>
      </c>
      <c r="N97" s="88">
        <v>3</v>
      </c>
      <c r="O97" s="88">
        <v>4</v>
      </c>
      <c r="Q97" s="88">
        <v>500</v>
      </c>
      <c r="R97" s="88">
        <v>4</v>
      </c>
      <c r="S97" s="88">
        <v>5</v>
      </c>
      <c r="U97" s="88">
        <v>0</v>
      </c>
      <c r="V97" s="88">
        <v>0</v>
      </c>
      <c r="W97" s="88">
        <v>0</v>
      </c>
      <c r="Y97" s="88">
        <v>500</v>
      </c>
      <c r="Z97" s="88">
        <v>2</v>
      </c>
      <c r="AA97" s="88">
        <v>3</v>
      </c>
    </row>
    <row r="98" spans="1:27" ht="18" customHeight="1">
      <c r="A98" s="88">
        <v>50</v>
      </c>
      <c r="B98" s="88">
        <v>2</v>
      </c>
      <c r="C98" s="88">
        <v>3</v>
      </c>
      <c r="E98" s="88">
        <f t="shared" si="41"/>
        <v>100</v>
      </c>
      <c r="F98" s="88">
        <v>2</v>
      </c>
      <c r="G98" s="88">
        <v>3</v>
      </c>
      <c r="I98" s="249">
        <f t="shared" si="46"/>
        <v>0</v>
      </c>
      <c r="J98" s="249">
        <f t="shared" si="45"/>
        <v>0</v>
      </c>
      <c r="K98" s="249">
        <f t="shared" si="42"/>
        <v>0</v>
      </c>
      <c r="L98" s="249">
        <f t="shared" si="43"/>
        <v>0</v>
      </c>
      <c r="M98" s="88">
        <v>0</v>
      </c>
      <c r="N98" s="88">
        <v>0</v>
      </c>
      <c r="O98" s="88">
        <v>0</v>
      </c>
      <c r="Q98" s="88">
        <v>300</v>
      </c>
      <c r="R98" s="88">
        <v>3</v>
      </c>
      <c r="S98" s="88">
        <v>4</v>
      </c>
      <c r="U98" s="88">
        <v>0</v>
      </c>
      <c r="V98" s="88">
        <v>0</v>
      </c>
      <c r="W98" s="88">
        <v>0</v>
      </c>
      <c r="Y98" s="88">
        <v>0</v>
      </c>
      <c r="Z98" s="88">
        <v>0</v>
      </c>
      <c r="AA98" s="88">
        <v>0</v>
      </c>
    </row>
    <row r="100" spans="1:27" ht="18" customHeight="1">
      <c r="E100" s="91"/>
    </row>
    <row r="101" spans="1:27" ht="18" customHeight="1">
      <c r="A101" s="93" t="s">
        <v>200</v>
      </c>
      <c r="E101" s="91"/>
      <c r="I101" s="93" t="s">
        <v>256</v>
      </c>
    </row>
    <row r="102" spans="1:27" ht="18" customHeight="1">
      <c r="A102" s="96" t="s">
        <v>205</v>
      </c>
      <c r="B102" s="88" t="s">
        <v>201</v>
      </c>
      <c r="C102" s="88" t="s">
        <v>202</v>
      </c>
      <c r="D102" s="96" t="s">
        <v>208</v>
      </c>
      <c r="E102" s="91"/>
      <c r="I102" s="96" t="s">
        <v>245</v>
      </c>
      <c r="J102" s="97" t="s">
        <v>250</v>
      </c>
      <c r="K102" s="96" t="s">
        <v>253</v>
      </c>
      <c r="M102" s="97" t="s">
        <v>251</v>
      </c>
      <c r="N102" s="96" t="s">
        <v>252</v>
      </c>
      <c r="P102" s="97" t="s">
        <v>255</v>
      </c>
      <c r="Q102" s="96" t="s">
        <v>254</v>
      </c>
    </row>
    <row r="103" spans="1:27" ht="18" customHeight="1">
      <c r="A103" s="101">
        <v>1</v>
      </c>
      <c r="B103" s="101">
        <v>8</v>
      </c>
      <c r="C103" s="140">
        <v>3.383</v>
      </c>
      <c r="D103" s="141">
        <v>8.3669999999999994E-2</v>
      </c>
      <c r="E103" s="91"/>
      <c r="I103" s="96">
        <v>1</v>
      </c>
      <c r="J103" s="88">
        <v>0.66700000000000004</v>
      </c>
      <c r="K103" s="88">
        <v>0.69179999999999997</v>
      </c>
      <c r="N103" s="88">
        <v>-0.1386</v>
      </c>
    </row>
    <row r="104" spans="1:27" ht="18" customHeight="1">
      <c r="A104" s="101">
        <f>A103+1</f>
        <v>2</v>
      </c>
      <c r="B104" s="101">
        <v>10</v>
      </c>
      <c r="C104" s="140">
        <v>2.6949999999999998</v>
      </c>
      <c r="D104" s="141">
        <v>5.2600000000000001E-2</v>
      </c>
      <c r="E104" s="91"/>
      <c r="I104" s="88">
        <f>I103+1</f>
        <v>2</v>
      </c>
      <c r="J104" s="88">
        <v>0.66700000000000004</v>
      </c>
      <c r="K104" s="88">
        <v>0.69420000000000004</v>
      </c>
      <c r="N104" s="88">
        <v>-0.19600000000000001</v>
      </c>
    </row>
    <row r="105" spans="1:27" ht="18" customHeight="1">
      <c r="A105" s="101">
        <f t="shared" ref="A105:A111" si="47">A104+1</f>
        <v>3</v>
      </c>
      <c r="B105" s="101">
        <v>12</v>
      </c>
      <c r="C105" s="140">
        <v>2.1509999999999998</v>
      </c>
      <c r="D105" s="141">
        <v>3.3070000000000002E-2</v>
      </c>
      <c r="E105" s="91"/>
      <c r="I105" s="88">
        <f t="shared" ref="I105:I133" si="48">I104+1</f>
        <v>3</v>
      </c>
      <c r="J105" s="88">
        <v>0.66700000000000004</v>
      </c>
      <c r="K105" s="88">
        <v>0.69420000000000004</v>
      </c>
      <c r="N105" s="88">
        <v>-0.217</v>
      </c>
    </row>
    <row r="106" spans="1:27" ht="18" customHeight="1">
      <c r="A106" s="101">
        <f t="shared" si="47"/>
        <v>4</v>
      </c>
      <c r="B106" s="101">
        <v>13</v>
      </c>
      <c r="C106" s="140">
        <v>1.923</v>
      </c>
      <c r="D106" s="141">
        <v>2.6270000000000002E-2</v>
      </c>
      <c r="E106" s="91"/>
      <c r="I106" s="88">
        <f t="shared" si="48"/>
        <v>4</v>
      </c>
      <c r="J106" s="88">
        <v>0.66700000000000004</v>
      </c>
      <c r="K106" s="88">
        <v>0.68700000000000006</v>
      </c>
      <c r="N106" s="88">
        <v>-0.20499999999999999</v>
      </c>
    </row>
    <row r="107" spans="1:27" ht="18" customHeight="1">
      <c r="A107" s="101">
        <f t="shared" si="47"/>
        <v>5</v>
      </c>
      <c r="B107" s="101">
        <v>16</v>
      </c>
      <c r="C107" s="140">
        <v>1.3839999999999999</v>
      </c>
      <c r="D107" s="141">
        <v>1.307E-2</v>
      </c>
      <c r="E107" s="91"/>
      <c r="I107" s="88">
        <f t="shared" si="48"/>
        <v>5</v>
      </c>
      <c r="J107" s="88">
        <v>0.66700000000000004</v>
      </c>
      <c r="K107" s="88">
        <v>0.68700000000000006</v>
      </c>
      <c r="N107" s="88">
        <v>-0.19600000000000001</v>
      </c>
    </row>
    <row r="108" spans="1:27" ht="18" customHeight="1">
      <c r="A108" s="101">
        <f t="shared" si="47"/>
        <v>6</v>
      </c>
      <c r="B108" s="101">
        <v>17</v>
      </c>
      <c r="C108" s="140">
        <v>1.24</v>
      </c>
      <c r="D108" s="141">
        <v>1.04E-2</v>
      </c>
      <c r="E108" s="91"/>
      <c r="I108" s="88">
        <f t="shared" si="48"/>
        <v>6</v>
      </c>
      <c r="J108" s="88">
        <v>0.66700000000000004</v>
      </c>
      <c r="K108" s="88">
        <v>0.68940000000000001</v>
      </c>
      <c r="N108" s="88">
        <v>-0.19939999999999999</v>
      </c>
    </row>
    <row r="109" spans="1:27" ht="18" customHeight="1">
      <c r="A109" s="101">
        <f t="shared" si="47"/>
        <v>7</v>
      </c>
      <c r="B109" s="101">
        <v>18</v>
      </c>
      <c r="C109" s="140">
        <v>1.1100000000000001</v>
      </c>
      <c r="D109" s="141">
        <v>8.2299999999999995E-3</v>
      </c>
      <c r="E109" s="91"/>
      <c r="I109" s="88">
        <f t="shared" si="48"/>
        <v>7</v>
      </c>
      <c r="J109" s="88">
        <v>0.66700000000000004</v>
      </c>
      <c r="K109" s="88">
        <v>0.68940000000000001</v>
      </c>
      <c r="N109" s="88">
        <v>-0.20699999999999999</v>
      </c>
    </row>
    <row r="110" spans="1:27" ht="18" customHeight="1">
      <c r="A110" s="101">
        <f t="shared" si="47"/>
        <v>8</v>
      </c>
      <c r="B110" s="101">
        <v>19</v>
      </c>
      <c r="C110" s="140">
        <v>0.99299999999999999</v>
      </c>
      <c r="D110" s="141">
        <v>6.5300000000000002E-3</v>
      </c>
      <c r="E110" s="91"/>
      <c r="I110" s="88">
        <f t="shared" si="48"/>
        <v>8</v>
      </c>
      <c r="J110" s="88">
        <v>0.66700000000000004</v>
      </c>
      <c r="K110" s="88">
        <v>0.69299999999999995</v>
      </c>
      <c r="N110" s="88">
        <v>-0.21199999999999999</v>
      </c>
    </row>
    <row r="111" spans="1:27" ht="18" customHeight="1">
      <c r="A111" s="101">
        <f t="shared" si="47"/>
        <v>9</v>
      </c>
      <c r="B111" s="101">
        <v>20</v>
      </c>
      <c r="C111" s="140">
        <v>0.89200000000000002</v>
      </c>
      <c r="D111" s="141">
        <v>5.1900000000000002E-3</v>
      </c>
      <c r="E111" s="91"/>
      <c r="I111" s="88">
        <f t="shared" si="48"/>
        <v>9</v>
      </c>
      <c r="J111" s="88">
        <v>0.66700000000000004</v>
      </c>
      <c r="K111" s="88">
        <v>0.68940000000000001</v>
      </c>
      <c r="N111" s="88">
        <v>-0.42099999999999999</v>
      </c>
    </row>
    <row r="112" spans="1:27" ht="18" customHeight="1">
      <c r="E112" s="91"/>
      <c r="I112" s="88">
        <f t="shared" si="48"/>
        <v>10</v>
      </c>
      <c r="J112" s="88">
        <v>0.66700000000000004</v>
      </c>
      <c r="K112" s="88">
        <v>0.68100000000000005</v>
      </c>
      <c r="N112" s="88">
        <v>-0.254</v>
      </c>
    </row>
    <row r="113" spans="1:17" ht="18" customHeight="1">
      <c r="E113" s="344" t="s">
        <v>238</v>
      </c>
      <c r="F113" s="344"/>
      <c r="I113" s="88">
        <f t="shared" si="48"/>
        <v>11</v>
      </c>
      <c r="J113" s="88">
        <v>0.66700000000000004</v>
      </c>
      <c r="K113" s="88">
        <v>0.69199999999999995</v>
      </c>
      <c r="N113" s="88">
        <v>-0.23300000000000001</v>
      </c>
    </row>
    <row r="114" spans="1:17" ht="18" customHeight="1">
      <c r="A114" s="162" t="s">
        <v>242</v>
      </c>
      <c r="E114" s="88" t="s">
        <v>239</v>
      </c>
      <c r="F114" s="88" t="s">
        <v>240</v>
      </c>
      <c r="G114" s="88" t="s">
        <v>241</v>
      </c>
      <c r="I114" s="88">
        <f t="shared" si="48"/>
        <v>12</v>
      </c>
      <c r="J114" s="88">
        <v>0.66700000000000004</v>
      </c>
      <c r="K114" s="88">
        <v>0.69420000000000004</v>
      </c>
      <c r="N114" s="88">
        <v>-0.13950000000000001</v>
      </c>
    </row>
    <row r="115" spans="1:17" ht="18" customHeight="1">
      <c r="A115" s="88">
        <v>-30</v>
      </c>
      <c r="B115" s="88">
        <v>0.99399999999999999</v>
      </c>
      <c r="C115" s="88">
        <v>-15</v>
      </c>
      <c r="D115" s="88">
        <v>0.997</v>
      </c>
      <c r="E115" s="88">
        <f>E116</f>
        <v>1.06</v>
      </c>
      <c r="F115" s="88">
        <f>F116</f>
        <v>0.9989710598083974</v>
      </c>
      <c r="I115" s="88">
        <f t="shared" si="48"/>
        <v>13</v>
      </c>
      <c r="J115" s="88">
        <v>0.255</v>
      </c>
      <c r="K115" s="88">
        <v>0.23300000000000001</v>
      </c>
      <c r="M115" s="88">
        <v>-0.48199999999999998</v>
      </c>
      <c r="N115" s="88">
        <v>-0.22</v>
      </c>
      <c r="P115" s="88">
        <v>6.95</v>
      </c>
      <c r="Q115" s="88">
        <v>6.39</v>
      </c>
    </row>
    <row r="116" spans="1:17" ht="18" customHeight="1">
      <c r="A116" s="88">
        <v>0</v>
      </c>
      <c r="B116" s="88">
        <v>1.006</v>
      </c>
      <c r="C116" s="88">
        <v>0</v>
      </c>
      <c r="D116" s="88">
        <v>1.0029999999999999</v>
      </c>
      <c r="E116" s="88">
        <v>1.06</v>
      </c>
      <c r="F116" s="88">
        <f>100/(100+G116)</f>
        <v>0.9989710598083974</v>
      </c>
      <c r="G116" s="99">
        <v>0.10299999999999999</v>
      </c>
      <c r="I116" s="88">
        <f t="shared" si="48"/>
        <v>14</v>
      </c>
      <c r="J116" s="88">
        <v>0.255</v>
      </c>
      <c r="K116" s="88">
        <v>0.22770000000000001</v>
      </c>
      <c r="M116" s="88">
        <v>-0.48199999999999998</v>
      </c>
      <c r="N116" s="88">
        <v>-0.222</v>
      </c>
      <c r="P116" s="88">
        <v>6.95</v>
      </c>
      <c r="Q116" s="88">
        <v>8.67</v>
      </c>
    </row>
    <row r="117" spans="1:17" ht="18" customHeight="1">
      <c r="A117" s="88">
        <v>30</v>
      </c>
      <c r="B117" s="88">
        <v>1.006</v>
      </c>
      <c r="C117" s="88">
        <v>15</v>
      </c>
      <c r="D117" s="88">
        <v>1.0029999999999999</v>
      </c>
      <c r="E117" s="88">
        <f>E116</f>
        <v>1.06</v>
      </c>
      <c r="F117" s="88">
        <f>F116</f>
        <v>0.9989710598083974</v>
      </c>
      <c r="I117" s="88">
        <f t="shared" si="48"/>
        <v>15</v>
      </c>
      <c r="J117" s="88">
        <v>0.255</v>
      </c>
      <c r="K117" s="88">
        <v>0.2248</v>
      </c>
      <c r="M117" s="88">
        <v>-0.48199999999999998</v>
      </c>
      <c r="N117" s="88">
        <v>-0.26700000000000002</v>
      </c>
      <c r="P117" s="88">
        <v>6.95</v>
      </c>
      <c r="Q117" s="88">
        <v>7.79</v>
      </c>
    </row>
    <row r="118" spans="1:17" ht="18" customHeight="1">
      <c r="A118" s="88">
        <v>0</v>
      </c>
      <c r="B118" s="88">
        <v>0.99399999999999999</v>
      </c>
      <c r="C118" s="88">
        <v>0</v>
      </c>
      <c r="D118" s="88">
        <v>0.997</v>
      </c>
      <c r="E118" s="88">
        <v>9.5500000000000007</v>
      </c>
      <c r="F118" s="88">
        <f>100/(100+G118)</f>
        <v>1.0047928619515087</v>
      </c>
      <c r="G118" s="99">
        <v>-0.47699999999999998</v>
      </c>
      <c r="I118" s="88">
        <f t="shared" si="48"/>
        <v>16</v>
      </c>
      <c r="J118" s="88">
        <v>0.11</v>
      </c>
      <c r="K118" s="88">
        <v>0.13120000000000001</v>
      </c>
      <c r="N118" s="88">
        <v>-1.6759999999999999</v>
      </c>
    </row>
    <row r="119" spans="1:17" ht="18" customHeight="1">
      <c r="A119" s="88">
        <v>-30</v>
      </c>
      <c r="B119" s="88">
        <v>0.99399999999999999</v>
      </c>
      <c r="C119" s="88">
        <v>-15</v>
      </c>
      <c r="D119" s="88">
        <v>0.997</v>
      </c>
      <c r="E119" s="88">
        <f>E118</f>
        <v>9.5500000000000007</v>
      </c>
      <c r="F119" s="88">
        <f>F118</f>
        <v>1.0047928619515087</v>
      </c>
      <c r="I119" s="88">
        <f t="shared" si="48"/>
        <v>17</v>
      </c>
      <c r="J119" s="88">
        <v>0.629</v>
      </c>
      <c r="K119" s="88">
        <v>0.64410000000000001</v>
      </c>
      <c r="N119" s="88">
        <v>-0.1172</v>
      </c>
    </row>
    <row r="120" spans="1:17" ht="18" customHeight="1">
      <c r="I120" s="88">
        <f t="shared" si="48"/>
        <v>18</v>
      </c>
      <c r="J120" s="88">
        <v>0.629</v>
      </c>
      <c r="K120" s="88">
        <v>0.62019999999999997</v>
      </c>
      <c r="N120" s="88">
        <v>-0.12280000000000001</v>
      </c>
    </row>
    <row r="121" spans="1:17" ht="18" customHeight="1">
      <c r="A121" s="162" t="s">
        <v>243</v>
      </c>
      <c r="I121" s="88">
        <f t="shared" si="48"/>
        <v>19</v>
      </c>
      <c r="J121" s="88">
        <v>1.1599999999999999</v>
      </c>
      <c r="K121" s="88">
        <v>0.97330000000000005</v>
      </c>
      <c r="N121" s="88">
        <v>-8.6900000000000005E-2</v>
      </c>
    </row>
    <row r="122" spans="1:17" ht="18" customHeight="1">
      <c r="A122" s="88">
        <v>-62.5</v>
      </c>
      <c r="B122" s="88">
        <v>0.98799999999999999</v>
      </c>
      <c r="C122" s="88">
        <v>-31.25</v>
      </c>
      <c r="D122" s="88">
        <v>0.99399999999999999</v>
      </c>
      <c r="I122" s="88">
        <f t="shared" si="48"/>
        <v>20</v>
      </c>
      <c r="J122" s="88">
        <v>1.1599999999999999</v>
      </c>
      <c r="K122" s="88">
        <v>1.0377000000000001</v>
      </c>
      <c r="N122" s="88">
        <v>-5.0200000000000002E-2</v>
      </c>
    </row>
    <row r="123" spans="1:17" ht="18" customHeight="1">
      <c r="A123" s="88">
        <v>0</v>
      </c>
      <c r="B123" s="88">
        <v>1.012</v>
      </c>
      <c r="C123" s="88">
        <v>0</v>
      </c>
      <c r="D123" s="88">
        <v>1.006</v>
      </c>
      <c r="I123" s="88">
        <f t="shared" si="48"/>
        <v>21</v>
      </c>
      <c r="J123" s="88">
        <v>1.1599999999999999</v>
      </c>
      <c r="K123" s="88">
        <v>1.0412999999999999</v>
      </c>
      <c r="N123" s="88">
        <v>-4.9200000000000001E-2</v>
      </c>
    </row>
    <row r="124" spans="1:17" ht="18" customHeight="1">
      <c r="A124" s="88">
        <v>62.5</v>
      </c>
      <c r="B124" s="88">
        <v>1.012</v>
      </c>
      <c r="C124" s="88">
        <v>31.25</v>
      </c>
      <c r="D124" s="88">
        <v>1.006</v>
      </c>
      <c r="I124" s="88">
        <f t="shared" si="48"/>
        <v>22</v>
      </c>
      <c r="J124" s="88">
        <v>1.1599999999999999</v>
      </c>
      <c r="K124" s="88">
        <v>1.0377000000000001</v>
      </c>
      <c r="N124" s="88">
        <v>-5.0299999999999997E-2</v>
      </c>
    </row>
    <row r="125" spans="1:17" ht="18" customHeight="1">
      <c r="A125" s="88">
        <v>0</v>
      </c>
      <c r="B125" s="88">
        <v>0.98799999999999999</v>
      </c>
      <c r="C125" s="88">
        <v>0</v>
      </c>
      <c r="D125" s="88">
        <v>0.99399999999999999</v>
      </c>
      <c r="I125" s="88">
        <f t="shared" si="48"/>
        <v>23</v>
      </c>
      <c r="J125" s="88">
        <v>1.1599999999999999</v>
      </c>
      <c r="K125" s="88">
        <v>1.0294000000000001</v>
      </c>
      <c r="N125" s="88">
        <v>-4.3499999999999997E-2</v>
      </c>
    </row>
    <row r="126" spans="1:17" ht="18" customHeight="1">
      <c r="A126" s="88">
        <v>-62.5</v>
      </c>
      <c r="B126" s="88">
        <v>0.98799999999999999</v>
      </c>
      <c r="C126" s="88">
        <v>-31.25</v>
      </c>
      <c r="D126" s="88">
        <v>0.99399999999999999</v>
      </c>
      <c r="I126" s="88">
        <f t="shared" si="48"/>
        <v>24</v>
      </c>
      <c r="J126" s="88">
        <v>1.1599999999999999</v>
      </c>
      <c r="K126" s="88">
        <v>1.0258</v>
      </c>
      <c r="N126" s="88">
        <v>-0.1411</v>
      </c>
    </row>
    <row r="127" spans="1:17" ht="18" customHeight="1">
      <c r="I127" s="88">
        <f t="shared" si="48"/>
        <v>25</v>
      </c>
      <c r="J127" s="88">
        <v>1.1599999999999999</v>
      </c>
      <c r="K127" s="88">
        <v>1.0055000000000001</v>
      </c>
      <c r="N127" s="88">
        <v>-1.7299999999999999E-2</v>
      </c>
    </row>
    <row r="128" spans="1:17" ht="18" customHeight="1">
      <c r="A128" s="162" t="s">
        <v>244</v>
      </c>
      <c r="I128" s="88">
        <f t="shared" si="48"/>
        <v>26</v>
      </c>
      <c r="J128" s="88">
        <v>1.1599999999999999</v>
      </c>
      <c r="K128" s="88">
        <v>1.0103</v>
      </c>
      <c r="N128" s="88">
        <v>-2.9499999999999998E-2</v>
      </c>
    </row>
    <row r="129" spans="1:17" ht="18" customHeight="1">
      <c r="A129" s="88">
        <v>-120</v>
      </c>
      <c r="B129" s="88">
        <v>0.97599999999999998</v>
      </c>
      <c r="C129" s="88">
        <v>-60</v>
      </c>
      <c r="D129" s="88">
        <v>0.98799999999999999</v>
      </c>
      <c r="I129" s="88">
        <f t="shared" si="48"/>
        <v>27</v>
      </c>
      <c r="J129" s="88">
        <v>1.1599999999999999</v>
      </c>
      <c r="K129" s="88">
        <v>1.0066999999999999</v>
      </c>
      <c r="N129" s="88">
        <v>-3.4200000000000001E-2</v>
      </c>
    </row>
    <row r="130" spans="1:17" ht="18" customHeight="1">
      <c r="A130" s="88">
        <v>0</v>
      </c>
      <c r="B130" s="88">
        <v>1.024</v>
      </c>
      <c r="C130" s="88">
        <v>0</v>
      </c>
      <c r="D130" s="88">
        <v>1.012</v>
      </c>
      <c r="I130" s="88">
        <f t="shared" si="48"/>
        <v>28</v>
      </c>
      <c r="J130" s="88">
        <v>0.47</v>
      </c>
      <c r="K130" s="88">
        <v>0.4032</v>
      </c>
      <c r="M130" s="88">
        <v>-0.182</v>
      </c>
      <c r="N130" s="88">
        <v>-0.1031</v>
      </c>
      <c r="P130" s="88">
        <v>1.02</v>
      </c>
      <c r="Q130" s="88">
        <v>0.27</v>
      </c>
    </row>
    <row r="131" spans="1:17" ht="18" customHeight="1">
      <c r="A131" s="88">
        <v>120</v>
      </c>
      <c r="B131" s="88">
        <v>1.024</v>
      </c>
      <c r="C131" s="88">
        <v>60</v>
      </c>
      <c r="D131" s="88">
        <v>1.012</v>
      </c>
      <c r="I131" s="88">
        <f t="shared" si="48"/>
        <v>29</v>
      </c>
      <c r="J131" s="88">
        <v>0.47</v>
      </c>
      <c r="K131" s="88">
        <v>0.40550000000000003</v>
      </c>
      <c r="M131" s="88">
        <v>-0.182</v>
      </c>
      <c r="N131" s="88">
        <v>-9.7299999999999998E-2</v>
      </c>
      <c r="P131" s="88">
        <v>1.02</v>
      </c>
      <c r="Q131" s="88">
        <v>0.54</v>
      </c>
    </row>
    <row r="132" spans="1:17" ht="18" customHeight="1">
      <c r="A132" s="88">
        <v>0</v>
      </c>
      <c r="B132" s="88">
        <v>0.97599999999999998</v>
      </c>
      <c r="C132" s="88">
        <v>0</v>
      </c>
      <c r="D132" s="88">
        <v>0.98799999999999999</v>
      </c>
      <c r="I132" s="88">
        <f t="shared" si="48"/>
        <v>30</v>
      </c>
      <c r="J132" s="88">
        <v>0.47</v>
      </c>
      <c r="K132" s="88">
        <v>0.40200000000000002</v>
      </c>
      <c r="M132" s="88">
        <v>-0.182</v>
      </c>
      <c r="N132" s="88">
        <v>-9.7000000000000003E-2</v>
      </c>
      <c r="P132" s="88">
        <v>1.02</v>
      </c>
      <c r="Q132" s="88">
        <v>0.38</v>
      </c>
    </row>
    <row r="133" spans="1:17" ht="18" customHeight="1">
      <c r="A133" s="88">
        <v>-120</v>
      </c>
      <c r="B133" s="88">
        <v>0.97599999999999998</v>
      </c>
      <c r="C133" s="88">
        <v>-60</v>
      </c>
      <c r="D133" s="88">
        <v>0.98799999999999999</v>
      </c>
      <c r="I133" s="88">
        <f t="shared" si="48"/>
        <v>31</v>
      </c>
      <c r="J133" s="88">
        <v>0.64800000000000002</v>
      </c>
      <c r="K133" s="88">
        <v>0.64890000000000003</v>
      </c>
      <c r="N133" s="88">
        <v>-9.6000000000000002E-2</v>
      </c>
    </row>
    <row r="137" spans="1:17" ht="18" customHeight="1">
      <c r="A137" s="93" t="s">
        <v>260</v>
      </c>
    </row>
    <row r="138" spans="1:17" ht="18" customHeight="1">
      <c r="A138" s="166" t="s">
        <v>247</v>
      </c>
    </row>
    <row r="139" spans="1:17" ht="18" customHeight="1">
      <c r="A139" s="163" t="s">
        <v>257</v>
      </c>
    </row>
    <row r="140" spans="1:17" ht="18" customHeight="1">
      <c r="A140" s="88">
        <v>1</v>
      </c>
      <c r="B140" s="91" t="s">
        <v>263</v>
      </c>
    </row>
    <row r="141" spans="1:17" ht="18" customHeight="1">
      <c r="A141" s="88">
        <f>A140+1</f>
        <v>2</v>
      </c>
      <c r="B141" s="91" t="s">
        <v>262</v>
      </c>
    </row>
    <row r="142" spans="1:17" ht="18" customHeight="1">
      <c r="A142" s="88">
        <f>A141+1</f>
        <v>3</v>
      </c>
      <c r="B142" s="97" t="s">
        <v>329</v>
      </c>
    </row>
    <row r="143" spans="1:17" ht="18" customHeight="1">
      <c r="A143" s="88">
        <f>A142+1</f>
        <v>4</v>
      </c>
      <c r="B143" s="97" t="s">
        <v>278</v>
      </c>
    </row>
    <row r="144" spans="1:17" ht="18" customHeight="1">
      <c r="A144" s="88">
        <f>A143+1</f>
        <v>5</v>
      </c>
      <c r="B144" s="91" t="s">
        <v>265</v>
      </c>
    </row>
    <row r="145" spans="1:2" ht="18" customHeight="1">
      <c r="A145" s="88">
        <f t="shared" ref="A145:A146" si="49">A144+1</f>
        <v>6</v>
      </c>
      <c r="B145" s="97" t="s">
        <v>279</v>
      </c>
    </row>
    <row r="146" spans="1:2" ht="18" customHeight="1">
      <c r="A146" s="88">
        <f t="shared" si="49"/>
        <v>7</v>
      </c>
      <c r="B146" s="165" t="s">
        <v>269</v>
      </c>
    </row>
    <row r="148" spans="1:2" ht="18" customHeight="1">
      <c r="A148" s="163" t="s">
        <v>259</v>
      </c>
    </row>
    <row r="149" spans="1:2" ht="18" customHeight="1">
      <c r="A149" s="88">
        <v>1</v>
      </c>
      <c r="B149" s="97" t="s">
        <v>276</v>
      </c>
    </row>
    <row r="150" spans="1:2" ht="18" customHeight="1">
      <c r="A150" s="88">
        <f>A149+1</f>
        <v>2</v>
      </c>
      <c r="B150" s="97" t="s">
        <v>330</v>
      </c>
    </row>
    <row r="151" spans="1:2" ht="18" customHeight="1">
      <c r="A151" s="88">
        <f t="shared" ref="A151" si="50">A150+1</f>
        <v>3</v>
      </c>
      <c r="B151" s="97" t="s">
        <v>331</v>
      </c>
    </row>
    <row r="153" spans="1:2" ht="18" customHeight="1">
      <c r="A153" s="167" t="s">
        <v>258</v>
      </c>
      <c r="B153" s="168"/>
    </row>
    <row r="154" spans="1:2" ht="18" customHeight="1">
      <c r="A154" s="168">
        <v>1</v>
      </c>
      <c r="B154" s="169" t="s">
        <v>270</v>
      </c>
    </row>
    <row r="155" spans="1:2" ht="18" customHeight="1">
      <c r="A155" s="168"/>
      <c r="B155" s="169" t="s">
        <v>332</v>
      </c>
    </row>
    <row r="156" spans="1:2" ht="18" customHeight="1">
      <c r="A156" s="168"/>
      <c r="B156" s="169" t="s">
        <v>333</v>
      </c>
    </row>
    <row r="157" spans="1:2" ht="18" customHeight="1">
      <c r="A157" s="168">
        <f>A154+1</f>
        <v>2</v>
      </c>
      <c r="B157" s="169" t="s">
        <v>266</v>
      </c>
    </row>
    <row r="158" spans="1:2" ht="18" customHeight="1">
      <c r="A158" s="168">
        <f t="shared" ref="A158:A161" si="51">A157+1</f>
        <v>3</v>
      </c>
      <c r="B158" s="169" t="s">
        <v>267</v>
      </c>
    </row>
    <row r="159" spans="1:2" ht="18" customHeight="1">
      <c r="A159" s="168">
        <f t="shared" si="51"/>
        <v>4</v>
      </c>
      <c r="B159" s="169" t="s">
        <v>268</v>
      </c>
    </row>
    <row r="160" spans="1:2" ht="18" customHeight="1">
      <c r="A160" s="168">
        <f t="shared" si="51"/>
        <v>5</v>
      </c>
      <c r="B160" s="169" t="s">
        <v>335</v>
      </c>
    </row>
    <row r="161" spans="1:13" ht="18" customHeight="1">
      <c r="A161" s="168">
        <f t="shared" si="51"/>
        <v>6</v>
      </c>
      <c r="B161" s="169" t="s">
        <v>334</v>
      </c>
    </row>
    <row r="162" spans="1:13" ht="18" customHeight="1">
      <c r="B162" s="169"/>
    </row>
    <row r="163" spans="1:13" ht="18" customHeight="1">
      <c r="A163" s="166" t="s">
        <v>248</v>
      </c>
      <c r="B163" s="91"/>
    </row>
    <row r="164" spans="1:13" ht="18" customHeight="1">
      <c r="A164" s="163" t="s">
        <v>257</v>
      </c>
    </row>
    <row r="165" spans="1:13" ht="18" customHeight="1">
      <c r="A165" s="88">
        <v>1</v>
      </c>
      <c r="B165" s="91" t="s">
        <v>261</v>
      </c>
    </row>
    <row r="166" spans="1:13" ht="18" customHeight="1">
      <c r="A166" s="88">
        <f>A165+1</f>
        <v>2</v>
      </c>
      <c r="B166" s="163" t="s">
        <v>249</v>
      </c>
    </row>
    <row r="167" spans="1:13" ht="18" customHeight="1">
      <c r="A167" s="89">
        <f t="shared" ref="A167" si="52">A166+1</f>
        <v>3</v>
      </c>
      <c r="B167" s="91" t="s">
        <v>264</v>
      </c>
    </row>
    <row r="168" spans="1:13" ht="18" customHeight="1">
      <c r="A168" s="89">
        <f t="shared" ref="A168:A170" si="53">A167+1</f>
        <v>4</v>
      </c>
      <c r="B168" s="97" t="s">
        <v>327</v>
      </c>
    </row>
    <row r="169" spans="1:13" ht="18" customHeight="1">
      <c r="A169" s="88">
        <f t="shared" si="53"/>
        <v>5</v>
      </c>
      <c r="B169" s="97" t="s">
        <v>277</v>
      </c>
    </row>
    <row r="170" spans="1:13" ht="18" customHeight="1">
      <c r="A170" s="88">
        <f t="shared" si="53"/>
        <v>6</v>
      </c>
      <c r="B170" s="97" t="s">
        <v>272</v>
      </c>
    </row>
    <row r="171" spans="1:13" ht="18" customHeight="1">
      <c r="A171" s="88">
        <f t="shared" ref="A171:A173" si="54">A170+1</f>
        <v>7</v>
      </c>
      <c r="B171" s="97" t="s">
        <v>326</v>
      </c>
    </row>
    <row r="172" spans="1:13" ht="18" customHeight="1">
      <c r="A172" s="88">
        <f t="shared" si="54"/>
        <v>8</v>
      </c>
      <c r="B172" s="97" t="s">
        <v>271</v>
      </c>
    </row>
    <row r="173" spans="1:13" ht="18" customHeight="1">
      <c r="A173" s="89">
        <f t="shared" si="54"/>
        <v>9</v>
      </c>
      <c r="B173" s="97" t="s">
        <v>280</v>
      </c>
    </row>
    <row r="174" spans="1:13" ht="18" customHeight="1">
      <c r="B174" s="97"/>
    </row>
    <row r="175" spans="1:13" ht="18" customHeight="1">
      <c r="A175" s="163" t="s">
        <v>259</v>
      </c>
    </row>
    <row r="176" spans="1:13" ht="18" customHeight="1">
      <c r="A176" s="89">
        <v>1</v>
      </c>
      <c r="B176" s="165" t="s">
        <v>274</v>
      </c>
      <c r="M176" s="97" t="s">
        <v>275</v>
      </c>
    </row>
    <row r="177" spans="1:2" ht="18" customHeight="1">
      <c r="A177" s="88">
        <f>A176+1</f>
        <v>2</v>
      </c>
      <c r="B177" s="165" t="s">
        <v>281</v>
      </c>
    </row>
    <row r="178" spans="1:2" ht="18" customHeight="1">
      <c r="A178" s="89">
        <f>A177+1</f>
        <v>3</v>
      </c>
      <c r="B178" s="165" t="s">
        <v>282</v>
      </c>
    </row>
    <row r="179" spans="1:2" ht="18" customHeight="1">
      <c r="B179" s="91"/>
    </row>
    <row r="180" spans="1:2" ht="18" customHeight="1">
      <c r="A180" s="167" t="s">
        <v>258</v>
      </c>
      <c r="B180" s="169"/>
    </row>
    <row r="181" spans="1:2" ht="18" customHeight="1">
      <c r="A181" s="168">
        <v>1</v>
      </c>
      <c r="B181" s="169" t="s">
        <v>328</v>
      </c>
    </row>
    <row r="182" spans="1:2" ht="18" customHeight="1">
      <c r="A182" s="89">
        <f>A181+1</f>
        <v>2</v>
      </c>
      <c r="B182" s="169" t="s">
        <v>273</v>
      </c>
    </row>
    <row r="183" spans="1:2" ht="18" customHeight="1">
      <c r="A183" s="89">
        <f t="shared" ref="A183" si="55">A182+1</f>
        <v>3</v>
      </c>
      <c r="B183" s="169" t="s">
        <v>283</v>
      </c>
    </row>
    <row r="184" spans="1:2" ht="18" customHeight="1">
      <c r="A184" s="164"/>
    </row>
    <row r="185" spans="1:2" ht="18" customHeight="1">
      <c r="A185" s="164"/>
    </row>
    <row r="186" spans="1:2" ht="18" customHeight="1">
      <c r="A186" s="164"/>
    </row>
    <row r="187" spans="1:2" ht="18" customHeight="1">
      <c r="A187" s="164"/>
    </row>
    <row r="188" spans="1:2" ht="18" customHeight="1">
      <c r="A188" s="164"/>
    </row>
    <row r="189" spans="1:2" ht="18" customHeight="1">
      <c r="A189" s="164"/>
    </row>
    <row r="190" spans="1:2" ht="18" customHeight="1">
      <c r="A190" s="164"/>
    </row>
    <row r="191" spans="1:2" ht="18" customHeight="1">
      <c r="A191" s="164"/>
    </row>
    <row r="192" spans="1:2" ht="18" customHeight="1">
      <c r="A192" s="164"/>
    </row>
    <row r="193" spans="1:19" ht="18" customHeight="1">
      <c r="A193" s="164"/>
    </row>
    <row r="194" spans="1:19" ht="18" customHeight="1">
      <c r="A194" s="164"/>
    </row>
    <row r="195" spans="1:19" ht="18" customHeight="1">
      <c r="A195" s="164"/>
    </row>
    <row r="196" spans="1:19" ht="18" customHeight="1">
      <c r="A196" s="164"/>
    </row>
    <row r="197" spans="1:19" ht="18" customHeight="1">
      <c r="A197" s="164"/>
    </row>
    <row r="198" spans="1:19" ht="18" customHeight="1">
      <c r="A198" s="164"/>
    </row>
    <row r="199" spans="1:19" ht="18" customHeight="1">
      <c r="A199" s="164"/>
    </row>
    <row r="200" spans="1:19" ht="18" customHeight="1">
      <c r="A200" s="164"/>
      <c r="M200" s="88">
        <f>120/100</f>
        <v>1.2</v>
      </c>
      <c r="N200" s="88">
        <f>45/100</f>
        <v>0.45</v>
      </c>
      <c r="O200" s="88">
        <f>30/100</f>
        <v>0.3</v>
      </c>
      <c r="Q200" s="88">
        <f>M200*N200*0</f>
        <v>0</v>
      </c>
      <c r="R200" s="88" t="s">
        <v>376</v>
      </c>
    </row>
    <row r="201" spans="1:19" ht="18" customHeight="1">
      <c r="A201" s="164"/>
      <c r="Q201" s="88">
        <f>O200*N200*2</f>
        <v>0.27</v>
      </c>
      <c r="R201" s="88" t="s">
        <v>377</v>
      </c>
    </row>
    <row r="202" spans="1:19" ht="20.100000000000001" customHeight="1">
      <c r="A202" s="93" t="s">
        <v>336</v>
      </c>
      <c r="Q202" s="88">
        <f>M200*O200*2</f>
        <v>0.72</v>
      </c>
    </row>
    <row r="203" spans="1:19" ht="20.100000000000001" customHeight="1">
      <c r="A203" s="166"/>
      <c r="Q203" s="118">
        <f>0.275*0.42</f>
        <v>0.11550000000000001</v>
      </c>
    </row>
    <row r="204" spans="1:19" ht="20.100000000000001" customHeight="1">
      <c r="A204" s="163" t="s">
        <v>257</v>
      </c>
      <c r="Q204" s="88">
        <f>SUM(Q200:Q203)</f>
        <v>1.1054999999999999</v>
      </c>
      <c r="R204" s="88">
        <f>Q204*1.5/100</f>
        <v>1.6582499999999997E-2</v>
      </c>
      <c r="S204" s="88">
        <f>R204*2800</f>
        <v>46.43099999999999</v>
      </c>
    </row>
    <row r="205" spans="1:19" ht="20.100000000000001" customHeight="1">
      <c r="A205" s="88">
        <v>1</v>
      </c>
      <c r="B205" s="97" t="s">
        <v>348</v>
      </c>
      <c r="Q205" s="88" t="s">
        <v>374</v>
      </c>
      <c r="R205" s="88" t="s">
        <v>375</v>
      </c>
      <c r="S205" s="88" t="s">
        <v>22</v>
      </c>
    </row>
    <row r="206" spans="1:19" ht="20.100000000000001" customHeight="1">
      <c r="B206" s="97" t="s">
        <v>347</v>
      </c>
      <c r="L206" s="91"/>
      <c r="Q206" s="88">
        <f>Q204*200</f>
        <v>221.1</v>
      </c>
    </row>
    <row r="207" spans="1:19" ht="20.100000000000001" customHeight="1">
      <c r="A207" s="88">
        <f>A205+1</f>
        <v>2</v>
      </c>
      <c r="B207" s="97" t="s">
        <v>349</v>
      </c>
      <c r="L207" s="163"/>
    </row>
    <row r="208" spans="1:19" ht="20.100000000000001" customHeight="1">
      <c r="A208" s="88">
        <f>A207+1</f>
        <v>3</v>
      </c>
      <c r="B208" s="97" t="s">
        <v>366</v>
      </c>
      <c r="M208" s="97" t="s">
        <v>278</v>
      </c>
    </row>
    <row r="209" spans="1:13" ht="20.100000000000001" customHeight="1">
      <c r="A209" s="88">
        <f>A208+1</f>
        <v>4</v>
      </c>
      <c r="B209" s="191" t="s">
        <v>358</v>
      </c>
    </row>
    <row r="210" spans="1:13" ht="20.100000000000001" customHeight="1">
      <c r="A210" s="88">
        <f t="shared" ref="A210:A220" si="56">A209+1</f>
        <v>5</v>
      </c>
      <c r="B210" s="97" t="s">
        <v>352</v>
      </c>
      <c r="M210" s="191" t="s">
        <v>351</v>
      </c>
    </row>
    <row r="211" spans="1:13" ht="20.100000000000001" customHeight="1">
      <c r="A211" s="88">
        <f t="shared" si="56"/>
        <v>6</v>
      </c>
      <c r="B211" s="97" t="s">
        <v>353</v>
      </c>
      <c r="L211" s="97"/>
      <c r="M211" s="97" t="s">
        <v>340</v>
      </c>
    </row>
    <row r="212" spans="1:13" ht="20.100000000000001" customHeight="1">
      <c r="A212" s="88">
        <f t="shared" si="56"/>
        <v>7</v>
      </c>
      <c r="B212" s="97" t="s">
        <v>354</v>
      </c>
    </row>
    <row r="213" spans="1:13" ht="20.100000000000001" customHeight="1">
      <c r="B213" s="97" t="s">
        <v>369</v>
      </c>
    </row>
    <row r="214" spans="1:13" ht="20.100000000000001" customHeight="1">
      <c r="A214" s="88">
        <f>A212+1</f>
        <v>8</v>
      </c>
      <c r="B214" s="97" t="s">
        <v>355</v>
      </c>
      <c r="L214" s="187" t="s">
        <v>338</v>
      </c>
      <c r="M214" s="99"/>
    </row>
    <row r="215" spans="1:13" ht="20.100000000000001" customHeight="1">
      <c r="A215" s="88">
        <f t="shared" si="56"/>
        <v>9</v>
      </c>
      <c r="B215" s="97" t="s">
        <v>272</v>
      </c>
    </row>
    <row r="216" spans="1:13" ht="20.100000000000001" customHeight="1">
      <c r="A216" s="88">
        <f t="shared" si="56"/>
        <v>10</v>
      </c>
      <c r="B216" s="97" t="s">
        <v>370</v>
      </c>
      <c r="M216" s="96" t="s">
        <v>371</v>
      </c>
    </row>
    <row r="217" spans="1:13" ht="20.100000000000001" customHeight="1">
      <c r="A217" s="88">
        <f t="shared" si="56"/>
        <v>11</v>
      </c>
      <c r="B217" s="97" t="s">
        <v>356</v>
      </c>
      <c r="M217" s="97" t="s">
        <v>346</v>
      </c>
    </row>
    <row r="218" spans="1:13" ht="20.100000000000001" customHeight="1">
      <c r="A218" s="88">
        <f t="shared" si="56"/>
        <v>12</v>
      </c>
      <c r="B218" s="163" t="s">
        <v>357</v>
      </c>
      <c r="M218" s="97" t="s">
        <v>345</v>
      </c>
    </row>
    <row r="219" spans="1:13" ht="20.100000000000001" customHeight="1">
      <c r="A219" s="88">
        <f t="shared" si="56"/>
        <v>13</v>
      </c>
      <c r="B219" s="97" t="s">
        <v>342</v>
      </c>
    </row>
    <row r="220" spans="1:13" ht="20.100000000000001" customHeight="1">
      <c r="A220" s="88">
        <f t="shared" si="56"/>
        <v>14</v>
      </c>
      <c r="B220" s="97" t="s">
        <v>359</v>
      </c>
    </row>
    <row r="221" spans="1:13" ht="20.100000000000001" customHeight="1"/>
    <row r="222" spans="1:13" ht="20.100000000000001" customHeight="1">
      <c r="A222" s="163" t="s">
        <v>259</v>
      </c>
    </row>
    <row r="223" spans="1:13" ht="20.100000000000001" customHeight="1">
      <c r="A223" s="88">
        <f>A220+1</f>
        <v>15</v>
      </c>
      <c r="B223" s="97" t="s">
        <v>360</v>
      </c>
    </row>
    <row r="224" spans="1:13" ht="20.100000000000001" customHeight="1">
      <c r="B224" s="97" t="s">
        <v>361</v>
      </c>
    </row>
    <row r="225" spans="1:13" ht="20.100000000000001" customHeight="1">
      <c r="B225" s="97" t="s">
        <v>372</v>
      </c>
    </row>
    <row r="226" spans="1:13" ht="20.100000000000001" customHeight="1"/>
    <row r="227" spans="1:13" ht="20.100000000000001" customHeight="1">
      <c r="A227" s="188" t="s">
        <v>258</v>
      </c>
      <c r="B227" s="189"/>
      <c r="M227" s="186" t="s">
        <v>332</v>
      </c>
    </row>
    <row r="228" spans="1:13" ht="20.100000000000001" customHeight="1">
      <c r="A228" s="189">
        <f>A223+1</f>
        <v>16</v>
      </c>
      <c r="B228" s="186" t="s">
        <v>270</v>
      </c>
      <c r="M228" s="186" t="s">
        <v>333</v>
      </c>
    </row>
    <row r="229" spans="1:13" ht="20.100000000000001" customHeight="1">
      <c r="A229" s="189">
        <f>A228+1</f>
        <v>17</v>
      </c>
      <c r="B229" s="191" t="s">
        <v>367</v>
      </c>
    </row>
    <row r="230" spans="1:13" ht="20.100000000000001" customHeight="1">
      <c r="A230" s="189"/>
      <c r="B230" s="191" t="s">
        <v>368</v>
      </c>
    </row>
    <row r="231" spans="1:13" ht="20.100000000000001" customHeight="1">
      <c r="A231" s="189">
        <f>A229+1</f>
        <v>18</v>
      </c>
      <c r="B231" s="186" t="s">
        <v>341</v>
      </c>
    </row>
    <row r="232" spans="1:13" ht="20.100000000000001" customHeight="1">
      <c r="A232" s="189">
        <f t="shared" ref="A232" si="57">A231+1</f>
        <v>19</v>
      </c>
      <c r="B232" s="186" t="s">
        <v>334</v>
      </c>
    </row>
    <row r="233" spans="1:13" ht="20.100000000000001" customHeight="1">
      <c r="A233" s="168"/>
      <c r="B233" s="169"/>
    </row>
    <row r="234" spans="1:13" ht="20.100000000000001" customHeight="1">
      <c r="A234" s="163" t="s">
        <v>343</v>
      </c>
    </row>
    <row r="235" spans="1:13" ht="20.100000000000001" customHeight="1">
      <c r="A235" s="88">
        <f>A232+1</f>
        <v>20</v>
      </c>
      <c r="B235" s="97" t="s">
        <v>363</v>
      </c>
    </row>
    <row r="236" spans="1:13" ht="20.100000000000001" customHeight="1">
      <c r="B236" s="97" t="s">
        <v>364</v>
      </c>
      <c r="C236" s="97"/>
      <c r="M236" s="97" t="s">
        <v>362</v>
      </c>
    </row>
    <row r="237" spans="1:13" ht="20.100000000000001" customHeight="1"/>
    <row r="238" spans="1:13" ht="20.100000000000001" customHeight="1">
      <c r="A238" s="163" t="s">
        <v>339</v>
      </c>
    </row>
    <row r="239" spans="1:13" ht="20.100000000000001" customHeight="1">
      <c r="B239" s="97" t="s">
        <v>337</v>
      </c>
    </row>
    <row r="240" spans="1:13" ht="20.100000000000001" customHeight="1">
      <c r="B240" s="97" t="s">
        <v>365</v>
      </c>
    </row>
    <row r="241" spans="1:13" ht="20.100000000000001" customHeight="1">
      <c r="M241" s="97" t="s">
        <v>350</v>
      </c>
    </row>
    <row r="242" spans="1:13" ht="20.100000000000001" customHeight="1">
      <c r="A242" s="164"/>
      <c r="M242" s="97" t="s">
        <v>344</v>
      </c>
    </row>
    <row r="243" spans="1:13" ht="18" customHeight="1">
      <c r="A243" s="164"/>
    </row>
    <row r="244" spans="1:13" ht="18" customHeight="1">
      <c r="A244" s="164"/>
    </row>
    <row r="245" spans="1:13" ht="18" customHeight="1">
      <c r="A245" s="164"/>
    </row>
    <row r="246" spans="1:13" ht="18" customHeight="1">
      <c r="A246" s="164"/>
    </row>
    <row r="247" spans="1:13" ht="18" customHeight="1">
      <c r="A247" s="164"/>
    </row>
    <row r="248" spans="1:13" ht="18" customHeight="1">
      <c r="A248" s="164"/>
    </row>
    <row r="249" spans="1:13" ht="18" customHeight="1">
      <c r="A249" s="164"/>
    </row>
    <row r="250" spans="1:13" ht="18" customHeight="1">
      <c r="A250" s="164"/>
    </row>
    <row r="251" spans="1:13" ht="18" customHeight="1">
      <c r="A251" s="164"/>
    </row>
  </sheetData>
  <mergeCells count="1">
    <mergeCell ref="E113:F113"/>
  </mergeCells>
  <printOptions horizontalCentered="1" verticalCentered="1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998BB-8E46-43D0-B9E1-AC4591FE7C53}">
  <sheetPr>
    <pageSetUpPr fitToPage="1"/>
  </sheetPr>
  <dimension ref="B1:AY68"/>
  <sheetViews>
    <sheetView topLeftCell="A4" zoomScale="130" zoomScaleNormal="130" workbookViewId="0">
      <selection activeCell="V7" sqref="V7:AA7"/>
    </sheetView>
  </sheetViews>
  <sheetFormatPr defaultColWidth="2.7109375" defaultRowHeight="12.75"/>
  <cols>
    <col min="1" max="18" width="2.7109375" style="1"/>
    <col min="19" max="19" width="3" style="1" bestFit="1" customWidth="1"/>
    <col min="20" max="20" width="2.7109375" style="1"/>
    <col min="21" max="21" width="4" style="1" bestFit="1" customWidth="1"/>
    <col min="22" max="16384" width="2.7109375" style="1"/>
  </cols>
  <sheetData>
    <row r="1" spans="2:46" ht="12.75" customHeight="1" thickBot="1"/>
    <row r="2" spans="2:46" ht="12.75" customHeight="1"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4"/>
    </row>
    <row r="3" spans="2:46" ht="12.75" customHeight="1">
      <c r="B3" s="5"/>
      <c r="AT3" s="6"/>
    </row>
    <row r="4" spans="2:46" ht="12.75" customHeight="1">
      <c r="B4" s="5"/>
      <c r="D4" s="7"/>
      <c r="E4" s="8"/>
      <c r="F4" s="8"/>
      <c r="G4" s="9"/>
      <c r="H4" s="8"/>
      <c r="I4" s="8"/>
      <c r="J4" s="8"/>
      <c r="K4" s="9"/>
      <c r="L4" s="362" t="s">
        <v>29</v>
      </c>
      <c r="M4" s="363"/>
      <c r="N4" s="363"/>
      <c r="O4" s="363"/>
      <c r="P4" s="363"/>
      <c r="Q4" s="363"/>
      <c r="R4" s="363"/>
      <c r="S4" s="363"/>
      <c r="T4" s="363"/>
      <c r="U4" s="363"/>
      <c r="V4" s="363"/>
      <c r="W4" s="363"/>
      <c r="X4" s="363"/>
      <c r="Y4" s="363"/>
      <c r="Z4" s="363"/>
      <c r="AA4" s="363"/>
      <c r="AB4" s="363"/>
      <c r="AC4" s="363"/>
      <c r="AD4" s="363"/>
      <c r="AE4" s="363"/>
      <c r="AF4" s="363"/>
      <c r="AG4" s="363"/>
      <c r="AH4" s="364"/>
      <c r="AI4" s="392" t="str">
        <f>TC_cálculo!G86</f>
        <v>Z4-3916999</v>
      </c>
      <c r="AJ4" s="393"/>
      <c r="AK4" s="393"/>
      <c r="AL4" s="393"/>
      <c r="AM4" s="393"/>
      <c r="AN4" s="393"/>
      <c r="AO4" s="393"/>
      <c r="AP4" s="393"/>
      <c r="AQ4" s="393"/>
      <c r="AR4" s="393"/>
      <c r="AS4" s="394"/>
      <c r="AT4" s="6"/>
    </row>
    <row r="5" spans="2:46" ht="12.75" customHeight="1">
      <c r="B5" s="5"/>
      <c r="D5" s="10"/>
      <c r="E5" s="11"/>
      <c r="F5" s="11"/>
      <c r="G5" s="12"/>
      <c r="H5" s="11"/>
      <c r="I5" s="11"/>
      <c r="J5" s="11"/>
      <c r="K5" s="12"/>
      <c r="L5" s="365"/>
      <c r="M5" s="366"/>
      <c r="N5" s="366"/>
      <c r="O5" s="366"/>
      <c r="P5" s="366"/>
      <c r="Q5" s="366"/>
      <c r="R5" s="366"/>
      <c r="S5" s="366"/>
      <c r="T5" s="366"/>
      <c r="U5" s="366"/>
      <c r="V5" s="366"/>
      <c r="W5" s="366"/>
      <c r="X5" s="366"/>
      <c r="Y5" s="366"/>
      <c r="Z5" s="366"/>
      <c r="AA5" s="366"/>
      <c r="AB5" s="366"/>
      <c r="AC5" s="366"/>
      <c r="AD5" s="366"/>
      <c r="AE5" s="366"/>
      <c r="AF5" s="366"/>
      <c r="AG5" s="366"/>
      <c r="AH5" s="367"/>
      <c r="AI5" s="395"/>
      <c r="AJ5" s="396"/>
      <c r="AK5" s="396"/>
      <c r="AL5" s="396"/>
      <c r="AM5" s="396"/>
      <c r="AN5" s="396"/>
      <c r="AO5" s="396"/>
      <c r="AP5" s="396"/>
      <c r="AQ5" s="396"/>
      <c r="AR5" s="396"/>
      <c r="AS5" s="397"/>
      <c r="AT5" s="6"/>
    </row>
    <row r="6" spans="2:46" ht="12.75" customHeight="1">
      <c r="B6" s="5"/>
      <c r="D6" s="15" t="s">
        <v>0</v>
      </c>
      <c r="E6" s="16"/>
      <c r="F6" s="16"/>
      <c r="G6" s="16"/>
      <c r="H6" s="16"/>
      <c r="I6" s="16"/>
      <c r="J6" s="16" t="s">
        <v>1</v>
      </c>
      <c r="K6" s="17"/>
      <c r="L6" s="368"/>
      <c r="M6" s="369"/>
      <c r="N6" s="369"/>
      <c r="O6" s="369"/>
      <c r="P6" s="369"/>
      <c r="Q6" s="369"/>
      <c r="R6" s="369"/>
      <c r="S6" s="369"/>
      <c r="T6" s="369"/>
      <c r="U6" s="369"/>
      <c r="V6" s="369"/>
      <c r="W6" s="369"/>
      <c r="X6" s="369"/>
      <c r="Y6" s="369"/>
      <c r="Z6" s="369"/>
      <c r="AA6" s="369"/>
      <c r="AB6" s="369"/>
      <c r="AC6" s="369"/>
      <c r="AD6" s="369"/>
      <c r="AE6" s="369"/>
      <c r="AF6" s="369"/>
      <c r="AG6" s="369"/>
      <c r="AH6" s="370"/>
      <c r="AI6" s="10"/>
      <c r="AJ6" s="11"/>
      <c r="AK6" s="18"/>
      <c r="AL6" s="11"/>
      <c r="AM6" s="18"/>
      <c r="AN6" s="11"/>
      <c r="AO6" s="18" t="s">
        <v>2</v>
      </c>
      <c r="AP6" s="11"/>
      <c r="AQ6" s="11"/>
      <c r="AR6" s="11"/>
      <c r="AS6" s="12"/>
      <c r="AT6" s="6"/>
    </row>
    <row r="7" spans="2:46" ht="12.75" customHeight="1">
      <c r="B7" s="5"/>
      <c r="D7" s="15" t="s">
        <v>3</v>
      </c>
      <c r="E7" s="16"/>
      <c r="F7" s="16"/>
      <c r="G7" s="359" t="str">
        <f>TC_cálculo!G87</f>
        <v>08/05/2023</v>
      </c>
      <c r="H7" s="359"/>
      <c r="I7" s="359"/>
      <c r="J7" s="359"/>
      <c r="K7" s="359"/>
      <c r="L7" s="19"/>
      <c r="M7" s="16"/>
      <c r="N7" s="16"/>
      <c r="O7" s="16"/>
      <c r="P7" s="16"/>
      <c r="R7" s="17"/>
      <c r="S7" s="15" t="s">
        <v>4</v>
      </c>
      <c r="T7" s="16"/>
      <c r="U7" s="16"/>
      <c r="V7" s="360" t="str">
        <f>TC_cálculo!G90</f>
        <v>André G.</v>
      </c>
      <c r="W7" s="360"/>
      <c r="X7" s="360"/>
      <c r="Y7" s="360"/>
      <c r="Z7" s="360"/>
      <c r="AA7" s="361"/>
      <c r="AB7" s="15" t="s">
        <v>5</v>
      </c>
      <c r="AC7" s="16"/>
      <c r="AD7" s="16"/>
      <c r="AE7" s="360" t="str">
        <f>TC_cálculo!G89</f>
        <v>André G.</v>
      </c>
      <c r="AF7" s="360"/>
      <c r="AG7" s="360"/>
      <c r="AH7" s="360"/>
      <c r="AI7" s="360"/>
      <c r="AJ7" s="361"/>
      <c r="AK7" s="20" t="s">
        <v>6</v>
      </c>
      <c r="AL7" s="19"/>
      <c r="AM7" s="16"/>
      <c r="AN7" s="360" t="str">
        <f>TC_cálculo!G88</f>
        <v>Gabriel C.</v>
      </c>
      <c r="AO7" s="360"/>
      <c r="AP7" s="360"/>
      <c r="AQ7" s="360"/>
      <c r="AR7" s="360"/>
      <c r="AS7" s="361"/>
      <c r="AT7" s="6"/>
    </row>
    <row r="8" spans="2:46" ht="12.75" customHeight="1">
      <c r="B8" s="5"/>
      <c r="D8" s="371" t="s">
        <v>7</v>
      </c>
      <c r="E8" s="372"/>
      <c r="F8" s="371" t="s">
        <v>8</v>
      </c>
      <c r="G8" s="375"/>
      <c r="H8" s="375"/>
      <c r="I8" s="375"/>
      <c r="J8" s="375"/>
      <c r="K8" s="375"/>
      <c r="L8" s="372"/>
      <c r="M8" s="371" t="s">
        <v>9</v>
      </c>
      <c r="N8" s="375"/>
      <c r="O8" s="375"/>
      <c r="P8" s="375"/>
      <c r="Q8" s="375"/>
      <c r="R8" s="372"/>
      <c r="S8" s="371" t="s">
        <v>10</v>
      </c>
      <c r="T8" s="375"/>
      <c r="U8" s="375"/>
      <c r="V8" s="375"/>
      <c r="W8" s="375"/>
      <c r="X8" s="372"/>
      <c r="Y8" s="371" t="s">
        <v>11</v>
      </c>
      <c r="Z8" s="375"/>
      <c r="AA8" s="375"/>
      <c r="AB8" s="375"/>
      <c r="AC8" s="372"/>
      <c r="AD8" s="382" t="s">
        <v>12</v>
      </c>
      <c r="AE8" s="360"/>
      <c r="AF8" s="360"/>
      <c r="AG8" s="361"/>
      <c r="AH8" s="379" t="s">
        <v>13</v>
      </c>
      <c r="AI8" s="380"/>
      <c r="AJ8" s="380"/>
      <c r="AK8" s="380"/>
      <c r="AL8" s="380"/>
      <c r="AM8" s="380"/>
      <c r="AN8" s="380"/>
      <c r="AO8" s="380"/>
      <c r="AP8" s="380"/>
      <c r="AQ8" s="380"/>
      <c r="AR8" s="380"/>
      <c r="AS8" s="381"/>
      <c r="AT8" s="6"/>
    </row>
    <row r="9" spans="2:46" ht="12.75" customHeight="1">
      <c r="B9" s="5"/>
      <c r="D9" s="373"/>
      <c r="E9" s="374"/>
      <c r="F9" s="373"/>
      <c r="G9" s="376"/>
      <c r="H9" s="376"/>
      <c r="I9" s="376"/>
      <c r="J9" s="376"/>
      <c r="K9" s="376"/>
      <c r="L9" s="374"/>
      <c r="M9" s="373"/>
      <c r="N9" s="376"/>
      <c r="O9" s="376"/>
      <c r="P9" s="376"/>
      <c r="Q9" s="376"/>
      <c r="R9" s="374"/>
      <c r="S9" s="373"/>
      <c r="T9" s="376"/>
      <c r="U9" s="376"/>
      <c r="V9" s="376"/>
      <c r="W9" s="376"/>
      <c r="X9" s="374"/>
      <c r="Y9" s="373"/>
      <c r="Z9" s="376"/>
      <c r="AA9" s="376"/>
      <c r="AB9" s="376"/>
      <c r="AC9" s="374"/>
      <c r="AD9" s="382" t="s">
        <v>14</v>
      </c>
      <c r="AE9" s="361"/>
      <c r="AF9" s="382" t="s">
        <v>15</v>
      </c>
      <c r="AG9" s="361"/>
      <c r="AH9" s="379">
        <v>1</v>
      </c>
      <c r="AI9" s="361"/>
      <c r="AJ9" s="379">
        <f>AH9+1</f>
        <v>2</v>
      </c>
      <c r="AK9" s="361"/>
      <c r="AL9" s="379">
        <f>AJ9+1</f>
        <v>3</v>
      </c>
      <c r="AM9" s="361"/>
      <c r="AN9" s="379">
        <f>AL9+1</f>
        <v>4</v>
      </c>
      <c r="AO9" s="361"/>
      <c r="AP9" s="379">
        <f>AN9+1</f>
        <v>5</v>
      </c>
      <c r="AQ9" s="361"/>
      <c r="AR9" s="379">
        <f>AP9+1</f>
        <v>6</v>
      </c>
      <c r="AS9" s="361"/>
      <c r="AT9" s="6"/>
    </row>
    <row r="10" spans="2:46" ht="12.75" customHeight="1">
      <c r="B10" s="5"/>
      <c r="D10" s="377">
        <v>1</v>
      </c>
      <c r="E10" s="378"/>
      <c r="F10" s="383" t="s">
        <v>16</v>
      </c>
      <c r="G10" s="384"/>
      <c r="H10" s="384"/>
      <c r="I10" s="384"/>
      <c r="J10" s="384"/>
      <c r="K10" s="384"/>
      <c r="L10" s="385"/>
      <c r="M10" s="383"/>
      <c r="N10" s="384"/>
      <c r="O10" s="384"/>
      <c r="P10" s="384"/>
      <c r="Q10" s="384"/>
      <c r="R10" s="385"/>
      <c r="S10" s="383"/>
      <c r="T10" s="384"/>
      <c r="U10" s="384"/>
      <c r="V10" s="384"/>
      <c r="W10" s="384"/>
      <c r="X10" s="385"/>
      <c r="Y10" s="377"/>
      <c r="Z10" s="386"/>
      <c r="AA10" s="386"/>
      <c r="AB10" s="386"/>
      <c r="AC10" s="378"/>
      <c r="AD10" s="377"/>
      <c r="AE10" s="378"/>
      <c r="AF10" s="377"/>
      <c r="AG10" s="378"/>
      <c r="AH10" s="387" t="s">
        <v>17</v>
      </c>
      <c r="AI10" s="378"/>
      <c r="AJ10" s="377"/>
      <c r="AK10" s="378"/>
      <c r="AL10" s="377"/>
      <c r="AM10" s="378"/>
      <c r="AN10" s="377"/>
      <c r="AO10" s="378"/>
      <c r="AP10" s="377"/>
      <c r="AQ10" s="378"/>
      <c r="AR10" s="377"/>
      <c r="AS10" s="378"/>
      <c r="AT10" s="6"/>
    </row>
    <row r="11" spans="2:46" ht="12.75" customHeight="1">
      <c r="B11" s="5"/>
      <c r="D11" s="377">
        <v>2</v>
      </c>
      <c r="E11" s="378"/>
      <c r="F11" s="383" t="s">
        <v>18</v>
      </c>
      <c r="G11" s="384"/>
      <c r="H11" s="384"/>
      <c r="I11" s="384"/>
      <c r="J11" s="384"/>
      <c r="K11" s="384"/>
      <c r="L11" s="385"/>
      <c r="M11" s="383" t="s">
        <v>19</v>
      </c>
      <c r="N11" s="384"/>
      <c r="O11" s="384"/>
      <c r="P11" s="384"/>
      <c r="Q11" s="384"/>
      <c r="R11" s="385"/>
      <c r="S11" s="383" t="s">
        <v>20</v>
      </c>
      <c r="T11" s="384"/>
      <c r="U11" s="384"/>
      <c r="V11" s="384"/>
      <c r="W11" s="384"/>
      <c r="X11" s="385"/>
      <c r="Y11" s="377" t="s">
        <v>21</v>
      </c>
      <c r="Z11" s="386"/>
      <c r="AA11" s="386"/>
      <c r="AB11" s="386"/>
      <c r="AC11" s="378"/>
      <c r="AD11" s="388" t="e">
        <f>#REF!</f>
        <v>#REF!</v>
      </c>
      <c r="AE11" s="378"/>
      <c r="AF11" s="377" t="s">
        <v>22</v>
      </c>
      <c r="AG11" s="378"/>
      <c r="AH11" s="387" t="s">
        <v>23</v>
      </c>
      <c r="AI11" s="378"/>
      <c r="AJ11" s="377"/>
      <c r="AK11" s="378"/>
      <c r="AL11" s="377"/>
      <c r="AM11" s="378"/>
      <c r="AN11" s="377"/>
      <c r="AO11" s="378"/>
      <c r="AP11" s="377"/>
      <c r="AQ11" s="378"/>
      <c r="AR11" s="377"/>
      <c r="AS11" s="378"/>
      <c r="AT11" s="6"/>
    </row>
    <row r="12" spans="2:46" ht="12.75" customHeight="1">
      <c r="B12" s="5"/>
      <c r="D12" s="377">
        <v>3</v>
      </c>
      <c r="E12" s="378"/>
      <c r="F12" s="383" t="s">
        <v>18</v>
      </c>
      <c r="G12" s="384"/>
      <c r="H12" s="384"/>
      <c r="I12" s="384"/>
      <c r="J12" s="384"/>
      <c r="K12" s="384"/>
      <c r="L12" s="385"/>
      <c r="M12" s="383" t="s">
        <v>19</v>
      </c>
      <c r="N12" s="384"/>
      <c r="O12" s="384"/>
      <c r="P12" s="384"/>
      <c r="Q12" s="384"/>
      <c r="R12" s="385"/>
      <c r="S12" s="383" t="s">
        <v>20</v>
      </c>
      <c r="T12" s="384"/>
      <c r="U12" s="384"/>
      <c r="V12" s="384"/>
      <c r="W12" s="384"/>
      <c r="X12" s="385"/>
      <c r="Y12" s="377" t="s">
        <v>21</v>
      </c>
      <c r="Z12" s="386"/>
      <c r="AA12" s="386"/>
      <c r="AB12" s="386"/>
      <c r="AC12" s="378"/>
      <c r="AD12" s="388" t="e">
        <f>#REF!</f>
        <v>#REF!</v>
      </c>
      <c r="AE12" s="378"/>
      <c r="AF12" s="377" t="s">
        <v>22</v>
      </c>
      <c r="AG12" s="378"/>
      <c r="AH12" s="387" t="s">
        <v>23</v>
      </c>
      <c r="AI12" s="378"/>
      <c r="AJ12" s="377"/>
      <c r="AK12" s="378"/>
      <c r="AL12" s="377"/>
      <c r="AM12" s="378"/>
      <c r="AN12" s="377"/>
      <c r="AO12" s="378"/>
      <c r="AP12" s="377"/>
      <c r="AQ12" s="378"/>
      <c r="AR12" s="377"/>
      <c r="AS12" s="378"/>
      <c r="AT12" s="6"/>
    </row>
    <row r="13" spans="2:46" ht="12.75" customHeight="1">
      <c r="B13" s="5"/>
      <c r="D13" s="377">
        <v>4</v>
      </c>
      <c r="E13" s="378"/>
      <c r="F13" s="383" t="s">
        <v>24</v>
      </c>
      <c r="G13" s="384"/>
      <c r="H13" s="384"/>
      <c r="I13" s="384"/>
      <c r="J13" s="384"/>
      <c r="K13" s="384"/>
      <c r="L13" s="385"/>
      <c r="M13" s="383" t="str">
        <f>TC_cálculo!G86</f>
        <v>Z4-3916999</v>
      </c>
      <c r="N13" s="384"/>
      <c r="O13" s="384"/>
      <c r="P13" s="384"/>
      <c r="Q13" s="384"/>
      <c r="R13" s="385"/>
      <c r="S13" s="383" t="e">
        <f>" "&amp;FIXED(#REF!,2)&amp;" x "&amp;FIXED(#REF!,2)&amp;" - A"</f>
        <v>#REF!</v>
      </c>
      <c r="T13" s="384"/>
      <c r="U13" s="384"/>
      <c r="V13" s="384"/>
      <c r="W13" s="384"/>
      <c r="X13" s="385"/>
      <c r="Y13" s="377" t="s">
        <v>25</v>
      </c>
      <c r="Z13" s="386"/>
      <c r="AA13" s="386"/>
      <c r="AB13" s="386"/>
      <c r="AC13" s="378"/>
      <c r="AD13" s="388" t="e">
        <f>#REF!</f>
        <v>#REF!</v>
      </c>
      <c r="AE13" s="378"/>
      <c r="AF13" s="377" t="s">
        <v>22</v>
      </c>
      <c r="AG13" s="378"/>
      <c r="AH13" s="387" t="s">
        <v>23</v>
      </c>
      <c r="AI13" s="378"/>
      <c r="AJ13" s="377"/>
      <c r="AK13" s="378"/>
      <c r="AL13" s="377"/>
      <c r="AM13" s="378"/>
      <c r="AN13" s="377"/>
      <c r="AO13" s="378"/>
      <c r="AP13" s="377"/>
      <c r="AQ13" s="378"/>
      <c r="AR13" s="377"/>
      <c r="AS13" s="378"/>
      <c r="AT13" s="6"/>
    </row>
    <row r="14" spans="2:46" ht="12.75" customHeight="1">
      <c r="B14" s="5"/>
      <c r="D14" s="13"/>
      <c r="AS14" s="14"/>
      <c r="AT14" s="6"/>
    </row>
    <row r="15" spans="2:46" ht="12.75" customHeight="1">
      <c r="B15" s="5"/>
      <c r="D15" s="13"/>
      <c r="AS15" s="14"/>
      <c r="AT15" s="6"/>
    </row>
    <row r="16" spans="2:46" ht="12.75" customHeight="1">
      <c r="B16" s="5"/>
      <c r="D16" s="13"/>
      <c r="AS16" s="14"/>
      <c r="AT16" s="6"/>
    </row>
    <row r="17" spans="2:46" ht="12.75" customHeight="1">
      <c r="B17" s="5"/>
      <c r="D17" s="13"/>
      <c r="AS17" s="14"/>
      <c r="AT17" s="6"/>
    </row>
    <row r="18" spans="2:46" ht="12.75" customHeight="1">
      <c r="B18" s="5"/>
      <c r="D18" s="13"/>
      <c r="AS18" s="14"/>
      <c r="AT18" s="6"/>
    </row>
    <row r="19" spans="2:46" ht="12.75" customHeight="1">
      <c r="B19" s="5"/>
      <c r="D19" s="13"/>
      <c r="AS19" s="14"/>
      <c r="AT19" s="6"/>
    </row>
    <row r="20" spans="2:46" ht="12.75" customHeight="1">
      <c r="B20" s="5"/>
      <c r="D20" s="13"/>
      <c r="T20" s="26"/>
      <c r="U20" s="26"/>
      <c r="V20" s="26"/>
      <c r="AS20" s="14"/>
      <c r="AT20" s="6"/>
    </row>
    <row r="21" spans="2:46" ht="12.75" customHeight="1">
      <c r="B21" s="5"/>
      <c r="D21" s="13"/>
      <c r="AS21" s="14"/>
      <c r="AT21" s="6"/>
    </row>
    <row r="22" spans="2:46" ht="12.75" customHeight="1">
      <c r="B22" s="5"/>
      <c r="D22" s="13"/>
      <c r="T22" s="26"/>
      <c r="U22" s="26"/>
      <c r="V22" s="26"/>
      <c r="Y22" s="26"/>
      <c r="Z22" s="26"/>
      <c r="AA22" s="26"/>
      <c r="AD22" s="26"/>
      <c r="AE22" s="26"/>
      <c r="AF22" s="26"/>
      <c r="AS22" s="14"/>
      <c r="AT22" s="6"/>
    </row>
    <row r="23" spans="2:46" ht="12.75" customHeight="1">
      <c r="B23" s="5"/>
      <c r="D23" s="13"/>
      <c r="T23" s="27"/>
      <c r="V23" s="27"/>
      <c r="Y23" s="27"/>
      <c r="AA23" s="27"/>
      <c r="AD23" s="27"/>
      <c r="AF23" s="27"/>
      <c r="AS23" s="14"/>
      <c r="AT23" s="6"/>
    </row>
    <row r="24" spans="2:46" ht="12.75" customHeight="1">
      <c r="B24" s="5"/>
      <c r="D24" s="13"/>
      <c r="T24" s="26"/>
      <c r="U24" s="26"/>
      <c r="V24" s="26"/>
      <c r="Y24" s="26"/>
      <c r="Z24" s="28"/>
      <c r="AA24" s="26"/>
      <c r="AD24" s="26"/>
      <c r="AE24" s="28"/>
      <c r="AF24" s="26"/>
      <c r="AI24" s="28"/>
      <c r="AJ24" s="28"/>
      <c r="AL24" s="28"/>
      <c r="AN24" s="28"/>
      <c r="AS24" s="14"/>
      <c r="AT24" s="6"/>
    </row>
    <row r="25" spans="2:46" ht="12.75" customHeight="1">
      <c r="B25" s="5"/>
      <c r="D25" s="13"/>
      <c r="Y25" s="26"/>
      <c r="Z25" s="28"/>
      <c r="AA25" s="26"/>
      <c r="AD25" s="26"/>
      <c r="AE25" s="28"/>
      <c r="AF25" s="26"/>
      <c r="AI25" s="28"/>
      <c r="AJ25" s="28"/>
      <c r="AL25" s="28"/>
      <c r="AN25" s="28"/>
      <c r="AS25" s="14"/>
      <c r="AT25" s="6"/>
    </row>
    <row r="26" spans="2:46" ht="12.75" customHeight="1">
      <c r="B26" s="5"/>
      <c r="D26" s="13"/>
      <c r="T26" s="26"/>
      <c r="U26" s="26"/>
      <c r="V26" s="26"/>
      <c r="Y26" s="26"/>
      <c r="Z26" s="28"/>
      <c r="AA26" s="26"/>
      <c r="AD26" s="26"/>
      <c r="AE26" s="28"/>
      <c r="AF26" s="26"/>
      <c r="AI26" s="28"/>
      <c r="AJ26" s="28"/>
      <c r="AL26" s="28"/>
      <c r="AN26" s="28"/>
      <c r="AS26" s="14"/>
      <c r="AT26" s="6"/>
    </row>
    <row r="27" spans="2:46" ht="12.75" customHeight="1">
      <c r="B27" s="5"/>
      <c r="D27" s="13"/>
      <c r="T27" s="26"/>
      <c r="U27" s="26"/>
      <c r="V27" s="26"/>
      <c r="Y27" s="26"/>
      <c r="Z27" s="28"/>
      <c r="AA27" s="26"/>
      <c r="AD27" s="26"/>
      <c r="AE27" s="28"/>
      <c r="AF27" s="26"/>
      <c r="AI27" s="28"/>
      <c r="AJ27" s="28"/>
      <c r="AL27" s="28"/>
      <c r="AN27" s="28"/>
      <c r="AS27" s="14"/>
      <c r="AT27" s="6"/>
    </row>
    <row r="28" spans="2:46" ht="12.75" customHeight="1">
      <c r="B28" s="5"/>
      <c r="D28" s="13"/>
      <c r="G28" s="398" t="e">
        <f>#REF!&amp;" P (74 µm) Termoestabilizado"</f>
        <v>#REF!</v>
      </c>
      <c r="H28" s="398"/>
      <c r="I28" s="398"/>
      <c r="J28" s="398"/>
      <c r="K28" s="398"/>
      <c r="L28" s="398"/>
      <c r="M28" s="398"/>
      <c r="N28" s="398"/>
      <c r="O28" s="398"/>
      <c r="P28" s="398"/>
      <c r="Q28" s="398"/>
      <c r="T28" s="26"/>
      <c r="U28" s="26"/>
      <c r="V28" s="26"/>
      <c r="Y28" s="26"/>
      <c r="Z28" s="26"/>
      <c r="AA28" s="26"/>
      <c r="AD28" s="26"/>
      <c r="AE28" s="26"/>
      <c r="AF28" s="26"/>
      <c r="AS28" s="14"/>
      <c r="AT28" s="6"/>
    </row>
    <row r="29" spans="2:46" ht="12.75" customHeight="1">
      <c r="B29" s="5"/>
      <c r="D29" s="13"/>
      <c r="G29" s="398"/>
      <c r="H29" s="398"/>
      <c r="I29" s="398"/>
      <c r="J29" s="398"/>
      <c r="K29" s="398"/>
      <c r="L29" s="398"/>
      <c r="M29" s="398"/>
      <c r="N29" s="398"/>
      <c r="O29" s="398"/>
      <c r="P29" s="398"/>
      <c r="Q29" s="398"/>
      <c r="AS29" s="14"/>
      <c r="AT29" s="6"/>
    </row>
    <row r="30" spans="2:46" ht="12.75" customHeight="1">
      <c r="B30" s="5"/>
      <c r="D30" s="13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AS30" s="14"/>
      <c r="AT30" s="6"/>
    </row>
    <row r="31" spans="2:46" ht="12.75" customHeight="1">
      <c r="B31" s="5"/>
      <c r="D31" s="13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AS31" s="14"/>
      <c r="AT31" s="6"/>
    </row>
    <row r="32" spans="2:46" ht="12.75" customHeight="1">
      <c r="B32" s="5"/>
      <c r="D32" s="13"/>
      <c r="G32" s="22"/>
      <c r="T32" s="26"/>
      <c r="U32" s="26"/>
      <c r="V32" s="26"/>
      <c r="AS32" s="14"/>
      <c r="AT32" s="6"/>
    </row>
    <row r="33" spans="2:51" ht="12.75" customHeight="1">
      <c r="B33" s="5"/>
      <c r="D33" s="13"/>
      <c r="I33" s="344" t="str">
        <f>"nuc Øe "&amp;500</f>
        <v>nuc Øe 500</v>
      </c>
      <c r="J33" s="344"/>
      <c r="K33" s="344"/>
      <c r="L33" s="344"/>
      <c r="M33" s="344"/>
      <c r="N33" s="344"/>
      <c r="O33" s="52"/>
      <c r="AS33" s="14"/>
      <c r="AT33" s="6"/>
    </row>
    <row r="34" spans="2:51" ht="12.75" customHeight="1">
      <c r="B34" s="5"/>
      <c r="D34" s="13"/>
      <c r="O34" s="14"/>
      <c r="Y34" s="26"/>
      <c r="Z34" s="26"/>
      <c r="AA34" s="26"/>
      <c r="AS34" s="14"/>
      <c r="AT34" s="6"/>
    </row>
    <row r="35" spans="2:51" ht="12.75" customHeight="1">
      <c r="B35" s="5"/>
      <c r="D35" s="13"/>
      <c r="F35" s="344" t="str">
        <f>"nuc Øi "&amp;400</f>
        <v>nuc Øi 400</v>
      </c>
      <c r="G35" s="344"/>
      <c r="H35" s="344"/>
      <c r="I35" s="344"/>
      <c r="J35" s="344"/>
      <c r="K35" s="14"/>
      <c r="L35" s="345">
        <v>50</v>
      </c>
      <c r="M35" s="344"/>
      <c r="N35" s="344"/>
      <c r="O35" s="346"/>
      <c r="Y35" s="26"/>
      <c r="Z35" s="26"/>
      <c r="AA35" s="26"/>
      <c r="AS35" s="14"/>
      <c r="AT35" s="6"/>
    </row>
    <row r="36" spans="2:51" ht="12.75" customHeight="1" thickBot="1">
      <c r="B36" s="5"/>
      <c r="D36" s="13"/>
      <c r="K36" s="51"/>
      <c r="O36" s="14"/>
      <c r="R36" s="11"/>
      <c r="S36" s="11"/>
      <c r="T36" s="11"/>
      <c r="U36" s="11"/>
      <c r="AS36" s="14"/>
      <c r="AT36" s="6"/>
    </row>
    <row r="37" spans="2:51" ht="12.75" customHeight="1" thickTop="1">
      <c r="B37" s="5"/>
      <c r="D37" s="13"/>
      <c r="F37" s="3"/>
      <c r="G37" s="3"/>
      <c r="H37" s="3"/>
      <c r="I37" s="3"/>
      <c r="J37" s="41"/>
      <c r="K37" s="45"/>
      <c r="L37" s="46"/>
      <c r="M37" s="46"/>
      <c r="N37" s="46"/>
      <c r="O37" s="45"/>
      <c r="P37" s="46"/>
      <c r="Q37" s="43"/>
      <c r="AS37" s="14"/>
      <c r="AT37" s="6"/>
    </row>
    <row r="38" spans="2:51" ht="12.75" customHeight="1" thickBot="1">
      <c r="B38" s="5"/>
      <c r="D38" s="13"/>
      <c r="J38" s="48"/>
      <c r="Q38" s="49"/>
      <c r="R38" s="11"/>
      <c r="S38" s="11"/>
      <c r="AS38" s="14"/>
      <c r="AT38" s="6"/>
    </row>
    <row r="39" spans="2:51" ht="12.75" customHeight="1" thickTop="1">
      <c r="B39" s="5"/>
      <c r="D39" s="13"/>
      <c r="J39" s="48"/>
      <c r="L39" s="391"/>
      <c r="M39" s="389"/>
      <c r="N39" s="389"/>
      <c r="O39" s="390"/>
      <c r="Q39" s="50"/>
      <c r="AS39" s="14"/>
      <c r="AT39" s="6"/>
    </row>
    <row r="40" spans="2:51" ht="12.75" customHeight="1" thickBot="1">
      <c r="B40" s="5"/>
      <c r="D40" s="13"/>
      <c r="J40" s="48"/>
      <c r="L40" s="32"/>
      <c r="M40" s="30"/>
      <c r="N40" s="30"/>
      <c r="O40" s="33"/>
      <c r="Q40" s="50"/>
      <c r="S40" s="347">
        <v>85</v>
      </c>
      <c r="U40" s="347">
        <v>185</v>
      </c>
      <c r="AS40" s="14"/>
      <c r="AT40" s="6"/>
    </row>
    <row r="41" spans="2:51" ht="12.75" customHeight="1" thickBot="1">
      <c r="B41" s="5"/>
      <c r="D41" s="13"/>
      <c r="J41" s="48"/>
      <c r="L41" s="34"/>
      <c r="M41" s="31"/>
      <c r="N41" s="31"/>
      <c r="O41" s="35"/>
      <c r="Q41" s="50"/>
      <c r="S41" s="347"/>
      <c r="U41" s="347"/>
      <c r="AS41" s="14"/>
      <c r="AT41" s="6"/>
    </row>
    <row r="42" spans="2:51" ht="12.75" customHeight="1" thickBot="1">
      <c r="B42" s="5"/>
      <c r="D42" s="13"/>
      <c r="J42" s="48"/>
      <c r="L42" s="32"/>
      <c r="M42" s="30"/>
      <c r="N42" s="30"/>
      <c r="O42" s="33"/>
      <c r="Q42" s="50"/>
      <c r="S42" s="347"/>
      <c r="U42" s="347"/>
      <c r="AS42" s="14"/>
      <c r="AT42" s="6"/>
      <c r="AY42" s="1">
        <f>TC_cálculo!BV38</f>
        <v>1</v>
      </c>
    </row>
    <row r="43" spans="2:51" ht="12.75" customHeight="1">
      <c r="B43" s="5"/>
      <c r="D43" s="13"/>
      <c r="J43" s="48"/>
      <c r="L43" s="36"/>
      <c r="M43" s="29"/>
      <c r="N43" s="29"/>
      <c r="O43" s="37"/>
      <c r="Q43" s="50"/>
      <c r="S43" s="347"/>
      <c r="U43" s="347"/>
      <c r="AS43" s="14"/>
      <c r="AT43" s="6"/>
    </row>
    <row r="44" spans="2:51" ht="12.75" customHeight="1" thickBot="1">
      <c r="B44" s="5"/>
      <c r="D44" s="13"/>
      <c r="J44" s="48"/>
      <c r="L44" s="38"/>
      <c r="M44" s="39"/>
      <c r="N44" s="39"/>
      <c r="O44" s="40"/>
      <c r="Q44" s="49"/>
      <c r="R44" s="11"/>
      <c r="S44" s="11"/>
      <c r="AS44" s="14"/>
      <c r="AT44" s="6"/>
    </row>
    <row r="45" spans="2:51" ht="12.75" customHeight="1" thickTop="1">
      <c r="B45" s="5"/>
      <c r="D45" s="13"/>
      <c r="J45" s="48"/>
      <c r="Q45" s="50"/>
      <c r="AS45" s="14"/>
      <c r="AT45" s="6"/>
    </row>
    <row r="46" spans="2:51" ht="12.75" customHeight="1" thickBot="1">
      <c r="B46" s="5"/>
      <c r="D46" s="13"/>
      <c r="F46" s="21"/>
      <c r="G46" s="21"/>
      <c r="H46" s="21"/>
      <c r="I46" s="21"/>
      <c r="J46" s="44"/>
      <c r="K46" s="47"/>
      <c r="L46" s="47"/>
      <c r="M46" s="47"/>
      <c r="N46" s="47"/>
      <c r="O46" s="47"/>
      <c r="P46" s="47"/>
      <c r="Q46" s="42"/>
      <c r="R46" s="11"/>
      <c r="S46" s="11"/>
      <c r="T46" s="11"/>
      <c r="U46" s="11"/>
      <c r="AS46" s="14"/>
      <c r="AT46" s="6"/>
    </row>
    <row r="47" spans="2:51" ht="12.75" customHeight="1">
      <c r="B47" s="5"/>
      <c r="D47" s="13"/>
      <c r="I47" s="14"/>
      <c r="Q47" s="14"/>
      <c r="AS47" s="14"/>
      <c r="AT47" s="6"/>
    </row>
    <row r="48" spans="2:51" ht="12.75" customHeight="1">
      <c r="B48" s="5"/>
      <c r="D48" s="13"/>
      <c r="F48" s="344" t="str">
        <f>"TC Øi "&amp;300</f>
        <v>TC Øi 300</v>
      </c>
      <c r="G48" s="344"/>
      <c r="H48" s="344"/>
      <c r="I48" s="14"/>
      <c r="L48" s="344">
        <v>150</v>
      </c>
      <c r="M48" s="344"/>
      <c r="N48" s="344"/>
      <c r="O48" s="344"/>
      <c r="Q48" s="14"/>
      <c r="AS48" s="14"/>
      <c r="AT48" s="6"/>
    </row>
    <row r="49" spans="2:46" ht="12.75" customHeight="1">
      <c r="B49" s="5"/>
      <c r="D49" s="13"/>
      <c r="Q49" s="14"/>
      <c r="AS49" s="14"/>
      <c r="AT49" s="6"/>
    </row>
    <row r="50" spans="2:46" ht="12.75" customHeight="1">
      <c r="B50" s="5"/>
      <c r="D50" s="13"/>
      <c r="K50" s="344" t="str">
        <f>"TC Øe "&amp;500</f>
        <v>TC Øe 500</v>
      </c>
      <c r="L50" s="344"/>
      <c r="M50" s="344"/>
      <c r="N50" s="344"/>
      <c r="O50" s="344"/>
      <c r="P50" s="344"/>
      <c r="Q50" s="14"/>
      <c r="AS50" s="14"/>
      <c r="AT50" s="6"/>
    </row>
    <row r="51" spans="2:46" ht="12.75" customHeight="1">
      <c r="B51" s="5"/>
      <c r="D51" s="13"/>
      <c r="AS51" s="14"/>
      <c r="AT51" s="6"/>
    </row>
    <row r="52" spans="2:46" ht="12.75" customHeight="1">
      <c r="B52" s="5"/>
      <c r="D52" s="13"/>
      <c r="AS52" s="14"/>
      <c r="AT52" s="6"/>
    </row>
    <row r="53" spans="2:46" ht="12.75" customHeight="1">
      <c r="B53" s="5"/>
      <c r="D53" s="13"/>
      <c r="AS53" s="14"/>
      <c r="AT53" s="6"/>
    </row>
    <row r="54" spans="2:46" ht="12.75" customHeight="1">
      <c r="B54" s="5"/>
      <c r="D54" s="13"/>
      <c r="H54" s="23" t="s">
        <v>26</v>
      </c>
      <c r="AS54" s="14"/>
      <c r="AT54" s="6"/>
    </row>
    <row r="55" spans="2:46" ht="12.75" customHeight="1">
      <c r="B55" s="5"/>
      <c r="D55" s="13"/>
      <c r="AS55" s="14"/>
      <c r="AT55" s="6"/>
    </row>
    <row r="56" spans="2:46" ht="12.75" customHeight="1">
      <c r="B56" s="5"/>
      <c r="D56" s="13"/>
      <c r="F56" s="23" t="s">
        <v>27</v>
      </c>
      <c r="K56" s="22" t="e">
        <f>"DIÂMETRO MÍNIMO "&amp;#REF!&amp;" mm."</f>
        <v>#REF!</v>
      </c>
      <c r="AS56" s="14"/>
      <c r="AT56" s="6"/>
    </row>
    <row r="57" spans="2:46" ht="12.75" customHeight="1">
      <c r="B57" s="5"/>
      <c r="D57" s="13"/>
      <c r="AS57" s="14"/>
      <c r="AT57" s="6"/>
    </row>
    <row r="58" spans="2:46" ht="12.75" customHeight="1">
      <c r="B58" s="5"/>
      <c r="D58" s="13"/>
      <c r="AS58" s="14"/>
      <c r="AT58" s="6"/>
    </row>
    <row r="59" spans="2:46" ht="12.75" customHeight="1">
      <c r="B59" s="5"/>
      <c r="D59" s="13"/>
      <c r="AS59" s="14"/>
      <c r="AT59" s="6"/>
    </row>
    <row r="60" spans="2:46" ht="12.75" customHeight="1">
      <c r="B60" s="5"/>
      <c r="D60" s="7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15" t="s">
        <v>28</v>
      </c>
      <c r="AK60" s="16"/>
      <c r="AL60" s="16"/>
      <c r="AM60" s="16"/>
      <c r="AN60" s="16"/>
      <c r="AO60" s="16"/>
      <c r="AP60" s="16"/>
      <c r="AQ60" s="16"/>
      <c r="AR60" s="16"/>
      <c r="AS60" s="17"/>
      <c r="AT60" s="6"/>
    </row>
    <row r="61" spans="2:46" ht="12.75" customHeight="1">
      <c r="B61" s="5"/>
      <c r="D61" s="13"/>
      <c r="AS61" s="14"/>
      <c r="AT61" s="6"/>
    </row>
    <row r="62" spans="2:46" ht="12.75" customHeight="1">
      <c r="B62" s="5"/>
      <c r="D62" s="13"/>
      <c r="AS62" s="14"/>
      <c r="AT62" s="6"/>
    </row>
    <row r="63" spans="2:46" ht="12.75" customHeight="1">
      <c r="B63" s="5"/>
      <c r="D63" s="13"/>
      <c r="AS63" s="14"/>
      <c r="AT63" s="6"/>
    </row>
    <row r="64" spans="2:46" ht="12.75" customHeight="1">
      <c r="B64" s="5"/>
      <c r="D64" s="13"/>
      <c r="AS64" s="14"/>
      <c r="AT64" s="6"/>
    </row>
    <row r="65" spans="2:46" ht="12.75" customHeight="1">
      <c r="B65" s="5"/>
      <c r="D65" s="10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2"/>
      <c r="AT65" s="6"/>
    </row>
    <row r="66" spans="2:46" ht="12.75" customHeight="1" thickBot="1">
      <c r="B66" s="24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  <c r="AC66" s="21"/>
      <c r="AD66" s="21"/>
      <c r="AE66" s="21"/>
      <c r="AF66" s="21"/>
      <c r="AG66" s="21"/>
      <c r="AH66" s="21"/>
      <c r="AI66" s="21"/>
      <c r="AJ66" s="21"/>
      <c r="AK66" s="21"/>
      <c r="AL66" s="21"/>
      <c r="AM66" s="21"/>
      <c r="AN66" s="21"/>
      <c r="AO66" s="21"/>
      <c r="AP66" s="21"/>
      <c r="AQ66" s="21"/>
      <c r="AR66" s="21"/>
      <c r="AS66" s="21"/>
      <c r="AT66" s="25"/>
    </row>
    <row r="67" spans="2:46" ht="12.75" customHeight="1"/>
    <row r="68" spans="2:46" ht="12.75" customHeight="1"/>
  </sheetData>
  <mergeCells count="84">
    <mergeCell ref="F35:J35"/>
    <mergeCell ref="K50:P50"/>
    <mergeCell ref="F48:H48"/>
    <mergeCell ref="I33:N33"/>
    <mergeCell ref="L35:O35"/>
    <mergeCell ref="L48:O48"/>
    <mergeCell ref="U40:U43"/>
    <mergeCell ref="S40:S43"/>
    <mergeCell ref="N39:O39"/>
    <mergeCell ref="L39:M39"/>
    <mergeCell ref="AI4:AS5"/>
    <mergeCell ref="AL9:AM9"/>
    <mergeCell ref="AL10:AM10"/>
    <mergeCell ref="AL11:AM11"/>
    <mergeCell ref="AL12:AM12"/>
    <mergeCell ref="AL13:AM13"/>
    <mergeCell ref="AJ9:AK9"/>
    <mergeCell ref="AJ10:AK10"/>
    <mergeCell ref="AJ11:AK11"/>
    <mergeCell ref="AJ12:AK12"/>
    <mergeCell ref="G28:Q29"/>
    <mergeCell ref="AD13:AE13"/>
    <mergeCell ref="AP12:AQ12"/>
    <mergeCell ref="AR12:AS12"/>
    <mergeCell ref="AF13:AG13"/>
    <mergeCell ref="AH13:AI13"/>
    <mergeCell ref="AN13:AO13"/>
    <mergeCell ref="AP13:AQ13"/>
    <mergeCell ref="AR13:AS13"/>
    <mergeCell ref="AJ13:AK13"/>
    <mergeCell ref="D13:E13"/>
    <mergeCell ref="F13:L13"/>
    <mergeCell ref="M13:R13"/>
    <mergeCell ref="S13:X13"/>
    <mergeCell ref="Y13:AC13"/>
    <mergeCell ref="D12:E12"/>
    <mergeCell ref="F12:L12"/>
    <mergeCell ref="M12:R12"/>
    <mergeCell ref="S12:X12"/>
    <mergeCell ref="Y12:AC12"/>
    <mergeCell ref="AD12:AE12"/>
    <mergeCell ref="AD11:AE11"/>
    <mergeCell ref="AF11:AG11"/>
    <mergeCell ref="AH11:AI11"/>
    <mergeCell ref="AN11:AO11"/>
    <mergeCell ref="AF12:AG12"/>
    <mergeCell ref="AH12:AI12"/>
    <mergeCell ref="AN12:AO12"/>
    <mergeCell ref="AP11:AQ11"/>
    <mergeCell ref="AR11:AS11"/>
    <mergeCell ref="AF10:AG10"/>
    <mergeCell ref="AH10:AI10"/>
    <mergeCell ref="AN10:AO10"/>
    <mergeCell ref="AP10:AQ10"/>
    <mergeCell ref="AR10:AS10"/>
    <mergeCell ref="D11:E11"/>
    <mergeCell ref="F11:L11"/>
    <mergeCell ref="M11:R11"/>
    <mergeCell ref="S11:X11"/>
    <mergeCell ref="Y11:AC11"/>
    <mergeCell ref="D10:E10"/>
    <mergeCell ref="F10:L10"/>
    <mergeCell ref="M10:R10"/>
    <mergeCell ref="S10:X10"/>
    <mergeCell ref="Y10:AC10"/>
    <mergeCell ref="AD10:AE10"/>
    <mergeCell ref="AH8:AS8"/>
    <mergeCell ref="AD9:AE9"/>
    <mergeCell ref="AF9:AG9"/>
    <mergeCell ref="AH9:AI9"/>
    <mergeCell ref="AN9:AO9"/>
    <mergeCell ref="AP9:AQ9"/>
    <mergeCell ref="AR9:AS9"/>
    <mergeCell ref="AD8:AG8"/>
    <mergeCell ref="D8:E9"/>
    <mergeCell ref="F8:L9"/>
    <mergeCell ref="M8:R9"/>
    <mergeCell ref="S8:X9"/>
    <mergeCell ref="Y8:AC9"/>
    <mergeCell ref="G7:K7"/>
    <mergeCell ref="AE7:AJ7"/>
    <mergeCell ref="V7:AA7"/>
    <mergeCell ref="AN7:AS7"/>
    <mergeCell ref="L4:AH6"/>
  </mergeCells>
  <printOptions horizontalCentered="1" verticalCentered="1"/>
  <pageMargins left="0" right="0" top="0" bottom="0" header="0" footer="0"/>
  <pageSetup paperSize="9" scale="83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7" id="{B8C9EF5F-C34D-41EC-937D-CC627E8A6C61}">
            <xm:f>Dados!#REF!&lt;3</xm:f>
            <x14:dxf>
              <border>
                <bottom/>
                <vertical/>
                <horizontal/>
              </border>
            </x14:dxf>
          </x14:cfRule>
          <xm:sqref>L40:O40 L42:O42</xm:sqref>
        </x14:conditionalFormatting>
        <x14:conditionalFormatting xmlns:xm="http://schemas.microsoft.com/office/excel/2006/main">
          <x14:cfRule type="expression" priority="49" id="{F5B40882-A038-4AC3-BDD6-333F44673F9E}">
            <xm:f>Dados!#REF!&lt;&gt;2</xm:f>
            <x14:dxf>
              <border>
                <bottom/>
                <vertical/>
                <horizontal/>
              </border>
            </x14:dxf>
          </x14:cfRule>
          <xm:sqref>L41:O41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E7749-D837-4A7D-A77C-244C606E8F23}">
  <sheetPr>
    <pageSetUpPr fitToPage="1"/>
  </sheetPr>
  <dimension ref="A1:Q56"/>
  <sheetViews>
    <sheetView topLeftCell="A19" workbookViewId="0">
      <selection activeCell="J51" sqref="J51:L51"/>
    </sheetView>
  </sheetViews>
  <sheetFormatPr defaultRowHeight="12.75"/>
  <cols>
    <col min="1" max="2" width="9.140625" style="53"/>
    <col min="3" max="5" width="11.5703125" style="53" bestFit="1" customWidth="1"/>
    <col min="6" max="6" width="9.7109375" style="53" bestFit="1" customWidth="1"/>
    <col min="7" max="7" width="13.7109375" style="53" bestFit="1" customWidth="1"/>
    <col min="8" max="8" width="12.5703125" style="53" bestFit="1" customWidth="1"/>
    <col min="9" max="10" width="11.5703125" style="53" bestFit="1" customWidth="1"/>
    <col min="11" max="11" width="9.5703125" style="53" bestFit="1" customWidth="1"/>
    <col min="12" max="12" width="12.5703125" style="53" bestFit="1" customWidth="1"/>
    <col min="13" max="13" width="9.140625" style="53"/>
    <col min="14" max="14" width="7.140625" style="53" bestFit="1" customWidth="1"/>
    <col min="15" max="15" width="11.42578125" style="53" bestFit="1" customWidth="1"/>
    <col min="16" max="258" width="9.140625" style="53"/>
    <col min="259" max="261" width="11.5703125" style="53" bestFit="1" customWidth="1"/>
    <col min="262" max="262" width="9.7109375" style="53" bestFit="1" customWidth="1"/>
    <col min="263" max="263" width="13.7109375" style="53" bestFit="1" customWidth="1"/>
    <col min="264" max="264" width="12.5703125" style="53" bestFit="1" customWidth="1"/>
    <col min="265" max="266" width="11.5703125" style="53" bestFit="1" customWidth="1"/>
    <col min="267" max="267" width="9.5703125" style="53" bestFit="1" customWidth="1"/>
    <col min="268" max="268" width="12.5703125" style="53" bestFit="1" customWidth="1"/>
    <col min="269" max="269" width="9.140625" style="53"/>
    <col min="270" max="270" width="7.140625" style="53" bestFit="1" customWidth="1"/>
    <col min="271" max="271" width="11.42578125" style="53" bestFit="1" customWidth="1"/>
    <col min="272" max="514" width="9.140625" style="53"/>
    <col min="515" max="517" width="11.5703125" style="53" bestFit="1" customWidth="1"/>
    <col min="518" max="518" width="9.7109375" style="53" bestFit="1" customWidth="1"/>
    <col min="519" max="519" width="13.7109375" style="53" bestFit="1" customWidth="1"/>
    <col min="520" max="520" width="12.5703125" style="53" bestFit="1" customWidth="1"/>
    <col min="521" max="522" width="11.5703125" style="53" bestFit="1" customWidth="1"/>
    <col min="523" max="523" width="9.5703125" style="53" bestFit="1" customWidth="1"/>
    <col min="524" max="524" width="12.5703125" style="53" bestFit="1" customWidth="1"/>
    <col min="525" max="525" width="9.140625" style="53"/>
    <col min="526" max="526" width="7.140625" style="53" bestFit="1" customWidth="1"/>
    <col min="527" max="527" width="11.42578125" style="53" bestFit="1" customWidth="1"/>
    <col min="528" max="770" width="9.140625" style="53"/>
    <col min="771" max="773" width="11.5703125" style="53" bestFit="1" customWidth="1"/>
    <col min="774" max="774" width="9.7109375" style="53" bestFit="1" customWidth="1"/>
    <col min="775" max="775" width="13.7109375" style="53" bestFit="1" customWidth="1"/>
    <col min="776" max="776" width="12.5703125" style="53" bestFit="1" customWidth="1"/>
    <col min="777" max="778" width="11.5703125" style="53" bestFit="1" customWidth="1"/>
    <col min="779" max="779" width="9.5703125" style="53" bestFit="1" customWidth="1"/>
    <col min="780" max="780" width="12.5703125" style="53" bestFit="1" customWidth="1"/>
    <col min="781" max="781" width="9.140625" style="53"/>
    <col min="782" max="782" width="7.140625" style="53" bestFit="1" customWidth="1"/>
    <col min="783" max="783" width="11.42578125" style="53" bestFit="1" customWidth="1"/>
    <col min="784" max="1026" width="9.140625" style="53"/>
    <col min="1027" max="1029" width="11.5703125" style="53" bestFit="1" customWidth="1"/>
    <col min="1030" max="1030" width="9.7109375" style="53" bestFit="1" customWidth="1"/>
    <col min="1031" max="1031" width="13.7109375" style="53" bestFit="1" customWidth="1"/>
    <col min="1032" max="1032" width="12.5703125" style="53" bestFit="1" customWidth="1"/>
    <col min="1033" max="1034" width="11.5703125" style="53" bestFit="1" customWidth="1"/>
    <col min="1035" max="1035" width="9.5703125" style="53" bestFit="1" customWidth="1"/>
    <col min="1036" max="1036" width="12.5703125" style="53" bestFit="1" customWidth="1"/>
    <col min="1037" max="1037" width="9.140625" style="53"/>
    <col min="1038" max="1038" width="7.140625" style="53" bestFit="1" customWidth="1"/>
    <col min="1039" max="1039" width="11.42578125" style="53" bestFit="1" customWidth="1"/>
    <col min="1040" max="1282" width="9.140625" style="53"/>
    <col min="1283" max="1285" width="11.5703125" style="53" bestFit="1" customWidth="1"/>
    <col min="1286" max="1286" width="9.7109375" style="53" bestFit="1" customWidth="1"/>
    <col min="1287" max="1287" width="13.7109375" style="53" bestFit="1" customWidth="1"/>
    <col min="1288" max="1288" width="12.5703125" style="53" bestFit="1" customWidth="1"/>
    <col min="1289" max="1290" width="11.5703125" style="53" bestFit="1" customWidth="1"/>
    <col min="1291" max="1291" width="9.5703125" style="53" bestFit="1" customWidth="1"/>
    <col min="1292" max="1292" width="12.5703125" style="53" bestFit="1" customWidth="1"/>
    <col min="1293" max="1293" width="9.140625" style="53"/>
    <col min="1294" max="1294" width="7.140625" style="53" bestFit="1" customWidth="1"/>
    <col min="1295" max="1295" width="11.42578125" style="53" bestFit="1" customWidth="1"/>
    <col min="1296" max="1538" width="9.140625" style="53"/>
    <col min="1539" max="1541" width="11.5703125" style="53" bestFit="1" customWidth="1"/>
    <col min="1542" max="1542" width="9.7109375" style="53" bestFit="1" customWidth="1"/>
    <col min="1543" max="1543" width="13.7109375" style="53" bestFit="1" customWidth="1"/>
    <col min="1544" max="1544" width="12.5703125" style="53" bestFit="1" customWidth="1"/>
    <col min="1545" max="1546" width="11.5703125" style="53" bestFit="1" customWidth="1"/>
    <col min="1547" max="1547" width="9.5703125" style="53" bestFit="1" customWidth="1"/>
    <col min="1548" max="1548" width="12.5703125" style="53" bestFit="1" customWidth="1"/>
    <col min="1549" max="1549" width="9.140625" style="53"/>
    <col min="1550" max="1550" width="7.140625" style="53" bestFit="1" customWidth="1"/>
    <col min="1551" max="1551" width="11.42578125" style="53" bestFit="1" customWidth="1"/>
    <col min="1552" max="1794" width="9.140625" style="53"/>
    <col min="1795" max="1797" width="11.5703125" style="53" bestFit="1" customWidth="1"/>
    <col min="1798" max="1798" width="9.7109375" style="53" bestFit="1" customWidth="1"/>
    <col min="1799" max="1799" width="13.7109375" style="53" bestFit="1" customWidth="1"/>
    <col min="1800" max="1800" width="12.5703125" style="53" bestFit="1" customWidth="1"/>
    <col min="1801" max="1802" width="11.5703125" style="53" bestFit="1" customWidth="1"/>
    <col min="1803" max="1803" width="9.5703125" style="53" bestFit="1" customWidth="1"/>
    <col min="1804" max="1804" width="12.5703125" style="53" bestFit="1" customWidth="1"/>
    <col min="1805" max="1805" width="9.140625" style="53"/>
    <col min="1806" max="1806" width="7.140625" style="53" bestFit="1" customWidth="1"/>
    <col min="1807" max="1807" width="11.42578125" style="53" bestFit="1" customWidth="1"/>
    <col min="1808" max="2050" width="9.140625" style="53"/>
    <col min="2051" max="2053" width="11.5703125" style="53" bestFit="1" customWidth="1"/>
    <col min="2054" max="2054" width="9.7109375" style="53" bestFit="1" customWidth="1"/>
    <col min="2055" max="2055" width="13.7109375" style="53" bestFit="1" customWidth="1"/>
    <col min="2056" max="2056" width="12.5703125" style="53" bestFit="1" customWidth="1"/>
    <col min="2057" max="2058" width="11.5703125" style="53" bestFit="1" customWidth="1"/>
    <col min="2059" max="2059" width="9.5703125" style="53" bestFit="1" customWidth="1"/>
    <col min="2060" max="2060" width="12.5703125" style="53" bestFit="1" customWidth="1"/>
    <col min="2061" max="2061" width="9.140625" style="53"/>
    <col min="2062" max="2062" width="7.140625" style="53" bestFit="1" customWidth="1"/>
    <col min="2063" max="2063" width="11.42578125" style="53" bestFit="1" customWidth="1"/>
    <col min="2064" max="2306" width="9.140625" style="53"/>
    <col min="2307" max="2309" width="11.5703125" style="53" bestFit="1" customWidth="1"/>
    <col min="2310" max="2310" width="9.7109375" style="53" bestFit="1" customWidth="1"/>
    <col min="2311" max="2311" width="13.7109375" style="53" bestFit="1" customWidth="1"/>
    <col min="2312" max="2312" width="12.5703125" style="53" bestFit="1" customWidth="1"/>
    <col min="2313" max="2314" width="11.5703125" style="53" bestFit="1" customWidth="1"/>
    <col min="2315" max="2315" width="9.5703125" style="53" bestFit="1" customWidth="1"/>
    <col min="2316" max="2316" width="12.5703125" style="53" bestFit="1" customWidth="1"/>
    <col min="2317" max="2317" width="9.140625" style="53"/>
    <col min="2318" max="2318" width="7.140625" style="53" bestFit="1" customWidth="1"/>
    <col min="2319" max="2319" width="11.42578125" style="53" bestFit="1" customWidth="1"/>
    <col min="2320" max="2562" width="9.140625" style="53"/>
    <col min="2563" max="2565" width="11.5703125" style="53" bestFit="1" customWidth="1"/>
    <col min="2566" max="2566" width="9.7109375" style="53" bestFit="1" customWidth="1"/>
    <col min="2567" max="2567" width="13.7109375" style="53" bestFit="1" customWidth="1"/>
    <col min="2568" max="2568" width="12.5703125" style="53" bestFit="1" customWidth="1"/>
    <col min="2569" max="2570" width="11.5703125" style="53" bestFit="1" customWidth="1"/>
    <col min="2571" max="2571" width="9.5703125" style="53" bestFit="1" customWidth="1"/>
    <col min="2572" max="2572" width="12.5703125" style="53" bestFit="1" customWidth="1"/>
    <col min="2573" max="2573" width="9.140625" style="53"/>
    <col min="2574" max="2574" width="7.140625" style="53" bestFit="1" customWidth="1"/>
    <col min="2575" max="2575" width="11.42578125" style="53" bestFit="1" customWidth="1"/>
    <col min="2576" max="2818" width="9.140625" style="53"/>
    <col min="2819" max="2821" width="11.5703125" style="53" bestFit="1" customWidth="1"/>
    <col min="2822" max="2822" width="9.7109375" style="53" bestFit="1" customWidth="1"/>
    <col min="2823" max="2823" width="13.7109375" style="53" bestFit="1" customWidth="1"/>
    <col min="2824" max="2824" width="12.5703125" style="53" bestFit="1" customWidth="1"/>
    <col min="2825" max="2826" width="11.5703125" style="53" bestFit="1" customWidth="1"/>
    <col min="2827" max="2827" width="9.5703125" style="53" bestFit="1" customWidth="1"/>
    <col min="2828" max="2828" width="12.5703125" style="53" bestFit="1" customWidth="1"/>
    <col min="2829" max="2829" width="9.140625" style="53"/>
    <col min="2830" max="2830" width="7.140625" style="53" bestFit="1" customWidth="1"/>
    <col min="2831" max="2831" width="11.42578125" style="53" bestFit="1" customWidth="1"/>
    <col min="2832" max="3074" width="9.140625" style="53"/>
    <col min="3075" max="3077" width="11.5703125" style="53" bestFit="1" customWidth="1"/>
    <col min="3078" max="3078" width="9.7109375" style="53" bestFit="1" customWidth="1"/>
    <col min="3079" max="3079" width="13.7109375" style="53" bestFit="1" customWidth="1"/>
    <col min="3080" max="3080" width="12.5703125" style="53" bestFit="1" customWidth="1"/>
    <col min="3081" max="3082" width="11.5703125" style="53" bestFit="1" customWidth="1"/>
    <col min="3083" max="3083" width="9.5703125" style="53" bestFit="1" customWidth="1"/>
    <col min="3084" max="3084" width="12.5703125" style="53" bestFit="1" customWidth="1"/>
    <col min="3085" max="3085" width="9.140625" style="53"/>
    <col min="3086" max="3086" width="7.140625" style="53" bestFit="1" customWidth="1"/>
    <col min="3087" max="3087" width="11.42578125" style="53" bestFit="1" customWidth="1"/>
    <col min="3088" max="3330" width="9.140625" style="53"/>
    <col min="3331" max="3333" width="11.5703125" style="53" bestFit="1" customWidth="1"/>
    <col min="3334" max="3334" width="9.7109375" style="53" bestFit="1" customWidth="1"/>
    <col min="3335" max="3335" width="13.7109375" style="53" bestFit="1" customWidth="1"/>
    <col min="3336" max="3336" width="12.5703125" style="53" bestFit="1" customWidth="1"/>
    <col min="3337" max="3338" width="11.5703125" style="53" bestFit="1" customWidth="1"/>
    <col min="3339" max="3339" width="9.5703125" style="53" bestFit="1" customWidth="1"/>
    <col min="3340" max="3340" width="12.5703125" style="53" bestFit="1" customWidth="1"/>
    <col min="3341" max="3341" width="9.140625" style="53"/>
    <col min="3342" max="3342" width="7.140625" style="53" bestFit="1" customWidth="1"/>
    <col min="3343" max="3343" width="11.42578125" style="53" bestFit="1" customWidth="1"/>
    <col min="3344" max="3586" width="9.140625" style="53"/>
    <col min="3587" max="3589" width="11.5703125" style="53" bestFit="1" customWidth="1"/>
    <col min="3590" max="3590" width="9.7109375" style="53" bestFit="1" customWidth="1"/>
    <col min="3591" max="3591" width="13.7109375" style="53" bestFit="1" customWidth="1"/>
    <col min="3592" max="3592" width="12.5703125" style="53" bestFit="1" customWidth="1"/>
    <col min="3593" max="3594" width="11.5703125" style="53" bestFit="1" customWidth="1"/>
    <col min="3595" max="3595" width="9.5703125" style="53" bestFit="1" customWidth="1"/>
    <col min="3596" max="3596" width="12.5703125" style="53" bestFit="1" customWidth="1"/>
    <col min="3597" max="3597" width="9.140625" style="53"/>
    <col min="3598" max="3598" width="7.140625" style="53" bestFit="1" customWidth="1"/>
    <col min="3599" max="3599" width="11.42578125" style="53" bestFit="1" customWidth="1"/>
    <col min="3600" max="3842" width="9.140625" style="53"/>
    <col min="3843" max="3845" width="11.5703125" style="53" bestFit="1" customWidth="1"/>
    <col min="3846" max="3846" width="9.7109375" style="53" bestFit="1" customWidth="1"/>
    <col min="3847" max="3847" width="13.7109375" style="53" bestFit="1" customWidth="1"/>
    <col min="3848" max="3848" width="12.5703125" style="53" bestFit="1" customWidth="1"/>
    <col min="3849" max="3850" width="11.5703125" style="53" bestFit="1" customWidth="1"/>
    <col min="3851" max="3851" width="9.5703125" style="53" bestFit="1" customWidth="1"/>
    <col min="3852" max="3852" width="12.5703125" style="53" bestFit="1" customWidth="1"/>
    <col min="3853" max="3853" width="9.140625" style="53"/>
    <col min="3854" max="3854" width="7.140625" style="53" bestFit="1" customWidth="1"/>
    <col min="3855" max="3855" width="11.42578125" style="53" bestFit="1" customWidth="1"/>
    <col min="3856" max="4098" width="9.140625" style="53"/>
    <col min="4099" max="4101" width="11.5703125" style="53" bestFit="1" customWidth="1"/>
    <col min="4102" max="4102" width="9.7109375" style="53" bestFit="1" customWidth="1"/>
    <col min="4103" max="4103" width="13.7109375" style="53" bestFit="1" customWidth="1"/>
    <col min="4104" max="4104" width="12.5703125" style="53" bestFit="1" customWidth="1"/>
    <col min="4105" max="4106" width="11.5703125" style="53" bestFit="1" customWidth="1"/>
    <col min="4107" max="4107" width="9.5703125" style="53" bestFit="1" customWidth="1"/>
    <col min="4108" max="4108" width="12.5703125" style="53" bestFit="1" customWidth="1"/>
    <col min="4109" max="4109" width="9.140625" style="53"/>
    <col min="4110" max="4110" width="7.140625" style="53" bestFit="1" customWidth="1"/>
    <col min="4111" max="4111" width="11.42578125" style="53" bestFit="1" customWidth="1"/>
    <col min="4112" max="4354" width="9.140625" style="53"/>
    <col min="4355" max="4357" width="11.5703125" style="53" bestFit="1" customWidth="1"/>
    <col min="4358" max="4358" width="9.7109375" style="53" bestFit="1" customWidth="1"/>
    <col min="4359" max="4359" width="13.7109375" style="53" bestFit="1" customWidth="1"/>
    <col min="4360" max="4360" width="12.5703125" style="53" bestFit="1" customWidth="1"/>
    <col min="4361" max="4362" width="11.5703125" style="53" bestFit="1" customWidth="1"/>
    <col min="4363" max="4363" width="9.5703125" style="53" bestFit="1" customWidth="1"/>
    <col min="4364" max="4364" width="12.5703125" style="53" bestFit="1" customWidth="1"/>
    <col min="4365" max="4365" width="9.140625" style="53"/>
    <col min="4366" max="4366" width="7.140625" style="53" bestFit="1" customWidth="1"/>
    <col min="4367" max="4367" width="11.42578125" style="53" bestFit="1" customWidth="1"/>
    <col min="4368" max="4610" width="9.140625" style="53"/>
    <col min="4611" max="4613" width="11.5703125" style="53" bestFit="1" customWidth="1"/>
    <col min="4614" max="4614" width="9.7109375" style="53" bestFit="1" customWidth="1"/>
    <col min="4615" max="4615" width="13.7109375" style="53" bestFit="1" customWidth="1"/>
    <col min="4616" max="4616" width="12.5703125" style="53" bestFit="1" customWidth="1"/>
    <col min="4617" max="4618" width="11.5703125" style="53" bestFit="1" customWidth="1"/>
    <col min="4619" max="4619" width="9.5703125" style="53" bestFit="1" customWidth="1"/>
    <col min="4620" max="4620" width="12.5703125" style="53" bestFit="1" customWidth="1"/>
    <col min="4621" max="4621" width="9.140625" style="53"/>
    <col min="4622" max="4622" width="7.140625" style="53" bestFit="1" customWidth="1"/>
    <col min="4623" max="4623" width="11.42578125" style="53" bestFit="1" customWidth="1"/>
    <col min="4624" max="4866" width="9.140625" style="53"/>
    <col min="4867" max="4869" width="11.5703125" style="53" bestFit="1" customWidth="1"/>
    <col min="4870" max="4870" width="9.7109375" style="53" bestFit="1" customWidth="1"/>
    <col min="4871" max="4871" width="13.7109375" style="53" bestFit="1" customWidth="1"/>
    <col min="4872" max="4872" width="12.5703125" style="53" bestFit="1" customWidth="1"/>
    <col min="4873" max="4874" width="11.5703125" style="53" bestFit="1" customWidth="1"/>
    <col min="4875" max="4875" width="9.5703125" style="53" bestFit="1" customWidth="1"/>
    <col min="4876" max="4876" width="12.5703125" style="53" bestFit="1" customWidth="1"/>
    <col min="4877" max="4877" width="9.140625" style="53"/>
    <col min="4878" max="4878" width="7.140625" style="53" bestFit="1" customWidth="1"/>
    <col min="4879" max="4879" width="11.42578125" style="53" bestFit="1" customWidth="1"/>
    <col min="4880" max="5122" width="9.140625" style="53"/>
    <col min="5123" max="5125" width="11.5703125" style="53" bestFit="1" customWidth="1"/>
    <col min="5126" max="5126" width="9.7109375" style="53" bestFit="1" customWidth="1"/>
    <col min="5127" max="5127" width="13.7109375" style="53" bestFit="1" customWidth="1"/>
    <col min="5128" max="5128" width="12.5703125" style="53" bestFit="1" customWidth="1"/>
    <col min="5129" max="5130" width="11.5703125" style="53" bestFit="1" customWidth="1"/>
    <col min="5131" max="5131" width="9.5703125" style="53" bestFit="1" customWidth="1"/>
    <col min="5132" max="5132" width="12.5703125" style="53" bestFit="1" customWidth="1"/>
    <col min="5133" max="5133" width="9.140625" style="53"/>
    <col min="5134" max="5134" width="7.140625" style="53" bestFit="1" customWidth="1"/>
    <col min="5135" max="5135" width="11.42578125" style="53" bestFit="1" customWidth="1"/>
    <col min="5136" max="5378" width="9.140625" style="53"/>
    <col min="5379" max="5381" width="11.5703125" style="53" bestFit="1" customWidth="1"/>
    <col min="5382" max="5382" width="9.7109375" style="53" bestFit="1" customWidth="1"/>
    <col min="5383" max="5383" width="13.7109375" style="53" bestFit="1" customWidth="1"/>
    <col min="5384" max="5384" width="12.5703125" style="53" bestFit="1" customWidth="1"/>
    <col min="5385" max="5386" width="11.5703125" style="53" bestFit="1" customWidth="1"/>
    <col min="5387" max="5387" width="9.5703125" style="53" bestFit="1" customWidth="1"/>
    <col min="5388" max="5388" width="12.5703125" style="53" bestFit="1" customWidth="1"/>
    <col min="5389" max="5389" width="9.140625" style="53"/>
    <col min="5390" max="5390" width="7.140625" style="53" bestFit="1" customWidth="1"/>
    <col min="5391" max="5391" width="11.42578125" style="53" bestFit="1" customWidth="1"/>
    <col min="5392" max="5634" width="9.140625" style="53"/>
    <col min="5635" max="5637" width="11.5703125" style="53" bestFit="1" customWidth="1"/>
    <col min="5638" max="5638" width="9.7109375" style="53" bestFit="1" customWidth="1"/>
    <col min="5639" max="5639" width="13.7109375" style="53" bestFit="1" customWidth="1"/>
    <col min="5640" max="5640" width="12.5703125" style="53" bestFit="1" customWidth="1"/>
    <col min="5641" max="5642" width="11.5703125" style="53" bestFit="1" customWidth="1"/>
    <col min="5643" max="5643" width="9.5703125" style="53" bestFit="1" customWidth="1"/>
    <col min="5644" max="5644" width="12.5703125" style="53" bestFit="1" customWidth="1"/>
    <col min="5645" max="5645" width="9.140625" style="53"/>
    <col min="5646" max="5646" width="7.140625" style="53" bestFit="1" customWidth="1"/>
    <col min="5647" max="5647" width="11.42578125" style="53" bestFit="1" customWidth="1"/>
    <col min="5648" max="5890" width="9.140625" style="53"/>
    <col min="5891" max="5893" width="11.5703125" style="53" bestFit="1" customWidth="1"/>
    <col min="5894" max="5894" width="9.7109375" style="53" bestFit="1" customWidth="1"/>
    <col min="5895" max="5895" width="13.7109375" style="53" bestFit="1" customWidth="1"/>
    <col min="5896" max="5896" width="12.5703125" style="53" bestFit="1" customWidth="1"/>
    <col min="5897" max="5898" width="11.5703125" style="53" bestFit="1" customWidth="1"/>
    <col min="5899" max="5899" width="9.5703125" style="53" bestFit="1" customWidth="1"/>
    <col min="5900" max="5900" width="12.5703125" style="53" bestFit="1" customWidth="1"/>
    <col min="5901" max="5901" width="9.140625" style="53"/>
    <col min="5902" max="5902" width="7.140625" style="53" bestFit="1" customWidth="1"/>
    <col min="5903" max="5903" width="11.42578125" style="53" bestFit="1" customWidth="1"/>
    <col min="5904" max="6146" width="9.140625" style="53"/>
    <col min="6147" max="6149" width="11.5703125" style="53" bestFit="1" customWidth="1"/>
    <col min="6150" max="6150" width="9.7109375" style="53" bestFit="1" customWidth="1"/>
    <col min="6151" max="6151" width="13.7109375" style="53" bestFit="1" customWidth="1"/>
    <col min="6152" max="6152" width="12.5703125" style="53" bestFit="1" customWidth="1"/>
    <col min="6153" max="6154" width="11.5703125" style="53" bestFit="1" customWidth="1"/>
    <col min="6155" max="6155" width="9.5703125" style="53" bestFit="1" customWidth="1"/>
    <col min="6156" max="6156" width="12.5703125" style="53" bestFit="1" customWidth="1"/>
    <col min="6157" max="6157" width="9.140625" style="53"/>
    <col min="6158" max="6158" width="7.140625" style="53" bestFit="1" customWidth="1"/>
    <col min="6159" max="6159" width="11.42578125" style="53" bestFit="1" customWidth="1"/>
    <col min="6160" max="6402" width="9.140625" style="53"/>
    <col min="6403" max="6405" width="11.5703125" style="53" bestFit="1" customWidth="1"/>
    <col min="6406" max="6406" width="9.7109375" style="53" bestFit="1" customWidth="1"/>
    <col min="6407" max="6407" width="13.7109375" style="53" bestFit="1" customWidth="1"/>
    <col min="6408" max="6408" width="12.5703125" style="53" bestFit="1" customWidth="1"/>
    <col min="6409" max="6410" width="11.5703125" style="53" bestFit="1" customWidth="1"/>
    <col min="6411" max="6411" width="9.5703125" style="53" bestFit="1" customWidth="1"/>
    <col min="6412" max="6412" width="12.5703125" style="53" bestFit="1" customWidth="1"/>
    <col min="6413" max="6413" width="9.140625" style="53"/>
    <col min="6414" max="6414" width="7.140625" style="53" bestFit="1" customWidth="1"/>
    <col min="6415" max="6415" width="11.42578125" style="53" bestFit="1" customWidth="1"/>
    <col min="6416" max="6658" width="9.140625" style="53"/>
    <col min="6659" max="6661" width="11.5703125" style="53" bestFit="1" customWidth="1"/>
    <col min="6662" max="6662" width="9.7109375" style="53" bestFit="1" customWidth="1"/>
    <col min="6663" max="6663" width="13.7109375" style="53" bestFit="1" customWidth="1"/>
    <col min="6664" max="6664" width="12.5703125" style="53" bestFit="1" customWidth="1"/>
    <col min="6665" max="6666" width="11.5703125" style="53" bestFit="1" customWidth="1"/>
    <col min="6667" max="6667" width="9.5703125" style="53" bestFit="1" customWidth="1"/>
    <col min="6668" max="6668" width="12.5703125" style="53" bestFit="1" customWidth="1"/>
    <col min="6669" max="6669" width="9.140625" style="53"/>
    <col min="6670" max="6670" width="7.140625" style="53" bestFit="1" customWidth="1"/>
    <col min="6671" max="6671" width="11.42578125" style="53" bestFit="1" customWidth="1"/>
    <col min="6672" max="6914" width="9.140625" style="53"/>
    <col min="6915" max="6917" width="11.5703125" style="53" bestFit="1" customWidth="1"/>
    <col min="6918" max="6918" width="9.7109375" style="53" bestFit="1" customWidth="1"/>
    <col min="6919" max="6919" width="13.7109375" style="53" bestFit="1" customWidth="1"/>
    <col min="6920" max="6920" width="12.5703125" style="53" bestFit="1" customWidth="1"/>
    <col min="6921" max="6922" width="11.5703125" style="53" bestFit="1" customWidth="1"/>
    <col min="6923" max="6923" width="9.5703125" style="53" bestFit="1" customWidth="1"/>
    <col min="6924" max="6924" width="12.5703125" style="53" bestFit="1" customWidth="1"/>
    <col min="6925" max="6925" width="9.140625" style="53"/>
    <col min="6926" max="6926" width="7.140625" style="53" bestFit="1" customWidth="1"/>
    <col min="6927" max="6927" width="11.42578125" style="53" bestFit="1" customWidth="1"/>
    <col min="6928" max="7170" width="9.140625" style="53"/>
    <col min="7171" max="7173" width="11.5703125" style="53" bestFit="1" customWidth="1"/>
    <col min="7174" max="7174" width="9.7109375" style="53" bestFit="1" customWidth="1"/>
    <col min="7175" max="7175" width="13.7109375" style="53" bestFit="1" customWidth="1"/>
    <col min="7176" max="7176" width="12.5703125" style="53" bestFit="1" customWidth="1"/>
    <col min="7177" max="7178" width="11.5703125" style="53" bestFit="1" customWidth="1"/>
    <col min="7179" max="7179" width="9.5703125" style="53" bestFit="1" customWidth="1"/>
    <col min="7180" max="7180" width="12.5703125" style="53" bestFit="1" customWidth="1"/>
    <col min="7181" max="7181" width="9.140625" style="53"/>
    <col min="7182" max="7182" width="7.140625" style="53" bestFit="1" customWidth="1"/>
    <col min="7183" max="7183" width="11.42578125" style="53" bestFit="1" customWidth="1"/>
    <col min="7184" max="7426" width="9.140625" style="53"/>
    <col min="7427" max="7429" width="11.5703125" style="53" bestFit="1" customWidth="1"/>
    <col min="7430" max="7430" width="9.7109375" style="53" bestFit="1" customWidth="1"/>
    <col min="7431" max="7431" width="13.7109375" style="53" bestFit="1" customWidth="1"/>
    <col min="7432" max="7432" width="12.5703125" style="53" bestFit="1" customWidth="1"/>
    <col min="7433" max="7434" width="11.5703125" style="53" bestFit="1" customWidth="1"/>
    <col min="7435" max="7435" width="9.5703125" style="53" bestFit="1" customWidth="1"/>
    <col min="7436" max="7436" width="12.5703125" style="53" bestFit="1" customWidth="1"/>
    <col min="7437" max="7437" width="9.140625" style="53"/>
    <col min="7438" max="7438" width="7.140625" style="53" bestFit="1" customWidth="1"/>
    <col min="7439" max="7439" width="11.42578125" style="53" bestFit="1" customWidth="1"/>
    <col min="7440" max="7682" width="9.140625" style="53"/>
    <col min="7683" max="7685" width="11.5703125" style="53" bestFit="1" customWidth="1"/>
    <col min="7686" max="7686" width="9.7109375" style="53" bestFit="1" customWidth="1"/>
    <col min="7687" max="7687" width="13.7109375" style="53" bestFit="1" customWidth="1"/>
    <col min="7688" max="7688" width="12.5703125" style="53" bestFit="1" customWidth="1"/>
    <col min="7689" max="7690" width="11.5703125" style="53" bestFit="1" customWidth="1"/>
    <col min="7691" max="7691" width="9.5703125" style="53" bestFit="1" customWidth="1"/>
    <col min="7692" max="7692" width="12.5703125" style="53" bestFit="1" customWidth="1"/>
    <col min="7693" max="7693" width="9.140625" style="53"/>
    <col min="7694" max="7694" width="7.140625" style="53" bestFit="1" customWidth="1"/>
    <col min="7695" max="7695" width="11.42578125" style="53" bestFit="1" customWidth="1"/>
    <col min="7696" max="7938" width="9.140625" style="53"/>
    <col min="7939" max="7941" width="11.5703125" style="53" bestFit="1" customWidth="1"/>
    <col min="7942" max="7942" width="9.7109375" style="53" bestFit="1" customWidth="1"/>
    <col min="7943" max="7943" width="13.7109375" style="53" bestFit="1" customWidth="1"/>
    <col min="7944" max="7944" width="12.5703125" style="53" bestFit="1" customWidth="1"/>
    <col min="7945" max="7946" width="11.5703125" style="53" bestFit="1" customWidth="1"/>
    <col min="7947" max="7947" width="9.5703125" style="53" bestFit="1" customWidth="1"/>
    <col min="7948" max="7948" width="12.5703125" style="53" bestFit="1" customWidth="1"/>
    <col min="7949" max="7949" width="9.140625" style="53"/>
    <col min="7950" max="7950" width="7.140625" style="53" bestFit="1" customWidth="1"/>
    <col min="7951" max="7951" width="11.42578125" style="53" bestFit="1" customWidth="1"/>
    <col min="7952" max="8194" width="9.140625" style="53"/>
    <col min="8195" max="8197" width="11.5703125" style="53" bestFit="1" customWidth="1"/>
    <col min="8198" max="8198" width="9.7109375" style="53" bestFit="1" customWidth="1"/>
    <col min="8199" max="8199" width="13.7109375" style="53" bestFit="1" customWidth="1"/>
    <col min="8200" max="8200" width="12.5703125" style="53" bestFit="1" customWidth="1"/>
    <col min="8201" max="8202" width="11.5703125" style="53" bestFit="1" customWidth="1"/>
    <col min="8203" max="8203" width="9.5703125" style="53" bestFit="1" customWidth="1"/>
    <col min="8204" max="8204" width="12.5703125" style="53" bestFit="1" customWidth="1"/>
    <col min="8205" max="8205" width="9.140625" style="53"/>
    <col min="8206" max="8206" width="7.140625" style="53" bestFit="1" customWidth="1"/>
    <col min="8207" max="8207" width="11.42578125" style="53" bestFit="1" customWidth="1"/>
    <col min="8208" max="8450" width="9.140625" style="53"/>
    <col min="8451" max="8453" width="11.5703125" style="53" bestFit="1" customWidth="1"/>
    <col min="8454" max="8454" width="9.7109375" style="53" bestFit="1" customWidth="1"/>
    <col min="8455" max="8455" width="13.7109375" style="53" bestFit="1" customWidth="1"/>
    <col min="8456" max="8456" width="12.5703125" style="53" bestFit="1" customWidth="1"/>
    <col min="8457" max="8458" width="11.5703125" style="53" bestFit="1" customWidth="1"/>
    <col min="8459" max="8459" width="9.5703125" style="53" bestFit="1" customWidth="1"/>
    <col min="8460" max="8460" width="12.5703125" style="53" bestFit="1" customWidth="1"/>
    <col min="8461" max="8461" width="9.140625" style="53"/>
    <col min="8462" max="8462" width="7.140625" style="53" bestFit="1" customWidth="1"/>
    <col min="8463" max="8463" width="11.42578125" style="53" bestFit="1" customWidth="1"/>
    <col min="8464" max="8706" width="9.140625" style="53"/>
    <col min="8707" max="8709" width="11.5703125" style="53" bestFit="1" customWidth="1"/>
    <col min="8710" max="8710" width="9.7109375" style="53" bestFit="1" customWidth="1"/>
    <col min="8711" max="8711" width="13.7109375" style="53" bestFit="1" customWidth="1"/>
    <col min="8712" max="8712" width="12.5703125" style="53" bestFit="1" customWidth="1"/>
    <col min="8713" max="8714" width="11.5703125" style="53" bestFit="1" customWidth="1"/>
    <col min="8715" max="8715" width="9.5703125" style="53" bestFit="1" customWidth="1"/>
    <col min="8716" max="8716" width="12.5703125" style="53" bestFit="1" customWidth="1"/>
    <col min="8717" max="8717" width="9.140625" style="53"/>
    <col min="8718" max="8718" width="7.140625" style="53" bestFit="1" customWidth="1"/>
    <col min="8719" max="8719" width="11.42578125" style="53" bestFit="1" customWidth="1"/>
    <col min="8720" max="8962" width="9.140625" style="53"/>
    <col min="8963" max="8965" width="11.5703125" style="53" bestFit="1" customWidth="1"/>
    <col min="8966" max="8966" width="9.7109375" style="53" bestFit="1" customWidth="1"/>
    <col min="8967" max="8967" width="13.7109375" style="53" bestFit="1" customWidth="1"/>
    <col min="8968" max="8968" width="12.5703125" style="53" bestFit="1" customWidth="1"/>
    <col min="8969" max="8970" width="11.5703125" style="53" bestFit="1" customWidth="1"/>
    <col min="8971" max="8971" width="9.5703125" style="53" bestFit="1" customWidth="1"/>
    <col min="8972" max="8972" width="12.5703125" style="53" bestFit="1" customWidth="1"/>
    <col min="8973" max="8973" width="9.140625" style="53"/>
    <col min="8974" max="8974" width="7.140625" style="53" bestFit="1" customWidth="1"/>
    <col min="8975" max="8975" width="11.42578125" style="53" bestFit="1" customWidth="1"/>
    <col min="8976" max="9218" width="9.140625" style="53"/>
    <col min="9219" max="9221" width="11.5703125" style="53" bestFit="1" customWidth="1"/>
    <col min="9222" max="9222" width="9.7109375" style="53" bestFit="1" customWidth="1"/>
    <col min="9223" max="9223" width="13.7109375" style="53" bestFit="1" customWidth="1"/>
    <col min="9224" max="9224" width="12.5703125" style="53" bestFit="1" customWidth="1"/>
    <col min="9225" max="9226" width="11.5703125" style="53" bestFit="1" customWidth="1"/>
    <col min="9227" max="9227" width="9.5703125" style="53" bestFit="1" customWidth="1"/>
    <col min="9228" max="9228" width="12.5703125" style="53" bestFit="1" customWidth="1"/>
    <col min="9229" max="9229" width="9.140625" style="53"/>
    <col min="9230" max="9230" width="7.140625" style="53" bestFit="1" customWidth="1"/>
    <col min="9231" max="9231" width="11.42578125" style="53" bestFit="1" customWidth="1"/>
    <col min="9232" max="9474" width="9.140625" style="53"/>
    <col min="9475" max="9477" width="11.5703125" style="53" bestFit="1" customWidth="1"/>
    <col min="9478" max="9478" width="9.7109375" style="53" bestFit="1" customWidth="1"/>
    <col min="9479" max="9479" width="13.7109375" style="53" bestFit="1" customWidth="1"/>
    <col min="9480" max="9480" width="12.5703125" style="53" bestFit="1" customWidth="1"/>
    <col min="9481" max="9482" width="11.5703125" style="53" bestFit="1" customWidth="1"/>
    <col min="9483" max="9483" width="9.5703125" style="53" bestFit="1" customWidth="1"/>
    <col min="9484" max="9484" width="12.5703125" style="53" bestFit="1" customWidth="1"/>
    <col min="9485" max="9485" width="9.140625" style="53"/>
    <col min="9486" max="9486" width="7.140625" style="53" bestFit="1" customWidth="1"/>
    <col min="9487" max="9487" width="11.42578125" style="53" bestFit="1" customWidth="1"/>
    <col min="9488" max="9730" width="9.140625" style="53"/>
    <col min="9731" max="9733" width="11.5703125" style="53" bestFit="1" customWidth="1"/>
    <col min="9734" max="9734" width="9.7109375" style="53" bestFit="1" customWidth="1"/>
    <col min="9735" max="9735" width="13.7109375" style="53" bestFit="1" customWidth="1"/>
    <col min="9736" max="9736" width="12.5703125" style="53" bestFit="1" customWidth="1"/>
    <col min="9737" max="9738" width="11.5703125" style="53" bestFit="1" customWidth="1"/>
    <col min="9739" max="9739" width="9.5703125" style="53" bestFit="1" customWidth="1"/>
    <col min="9740" max="9740" width="12.5703125" style="53" bestFit="1" customWidth="1"/>
    <col min="9741" max="9741" width="9.140625" style="53"/>
    <col min="9742" max="9742" width="7.140625" style="53" bestFit="1" customWidth="1"/>
    <col min="9743" max="9743" width="11.42578125" style="53" bestFit="1" customWidth="1"/>
    <col min="9744" max="9986" width="9.140625" style="53"/>
    <col min="9987" max="9989" width="11.5703125" style="53" bestFit="1" customWidth="1"/>
    <col min="9990" max="9990" width="9.7109375" style="53" bestFit="1" customWidth="1"/>
    <col min="9991" max="9991" width="13.7109375" style="53" bestFit="1" customWidth="1"/>
    <col min="9992" max="9992" width="12.5703125" style="53" bestFit="1" customWidth="1"/>
    <col min="9993" max="9994" width="11.5703125" style="53" bestFit="1" customWidth="1"/>
    <col min="9995" max="9995" width="9.5703125" style="53" bestFit="1" customWidth="1"/>
    <col min="9996" max="9996" width="12.5703125" style="53" bestFit="1" customWidth="1"/>
    <col min="9997" max="9997" width="9.140625" style="53"/>
    <col min="9998" max="9998" width="7.140625" style="53" bestFit="1" customWidth="1"/>
    <col min="9999" max="9999" width="11.42578125" style="53" bestFit="1" customWidth="1"/>
    <col min="10000" max="10242" width="9.140625" style="53"/>
    <col min="10243" max="10245" width="11.5703125" style="53" bestFit="1" customWidth="1"/>
    <col min="10246" max="10246" width="9.7109375" style="53" bestFit="1" customWidth="1"/>
    <col min="10247" max="10247" width="13.7109375" style="53" bestFit="1" customWidth="1"/>
    <col min="10248" max="10248" width="12.5703125" style="53" bestFit="1" customWidth="1"/>
    <col min="10249" max="10250" width="11.5703125" style="53" bestFit="1" customWidth="1"/>
    <col min="10251" max="10251" width="9.5703125" style="53" bestFit="1" customWidth="1"/>
    <col min="10252" max="10252" width="12.5703125" style="53" bestFit="1" customWidth="1"/>
    <col min="10253" max="10253" width="9.140625" style="53"/>
    <col min="10254" max="10254" width="7.140625" style="53" bestFit="1" customWidth="1"/>
    <col min="10255" max="10255" width="11.42578125" style="53" bestFit="1" customWidth="1"/>
    <col min="10256" max="10498" width="9.140625" style="53"/>
    <col min="10499" max="10501" width="11.5703125" style="53" bestFit="1" customWidth="1"/>
    <col min="10502" max="10502" width="9.7109375" style="53" bestFit="1" customWidth="1"/>
    <col min="10503" max="10503" width="13.7109375" style="53" bestFit="1" customWidth="1"/>
    <col min="10504" max="10504" width="12.5703125" style="53" bestFit="1" customWidth="1"/>
    <col min="10505" max="10506" width="11.5703125" style="53" bestFit="1" customWidth="1"/>
    <col min="10507" max="10507" width="9.5703125" style="53" bestFit="1" customWidth="1"/>
    <col min="10508" max="10508" width="12.5703125" style="53" bestFit="1" customWidth="1"/>
    <col min="10509" max="10509" width="9.140625" style="53"/>
    <col min="10510" max="10510" width="7.140625" style="53" bestFit="1" customWidth="1"/>
    <col min="10511" max="10511" width="11.42578125" style="53" bestFit="1" customWidth="1"/>
    <col min="10512" max="10754" width="9.140625" style="53"/>
    <col min="10755" max="10757" width="11.5703125" style="53" bestFit="1" customWidth="1"/>
    <col min="10758" max="10758" width="9.7109375" style="53" bestFit="1" customWidth="1"/>
    <col min="10759" max="10759" width="13.7109375" style="53" bestFit="1" customWidth="1"/>
    <col min="10760" max="10760" width="12.5703125" style="53" bestFit="1" customWidth="1"/>
    <col min="10761" max="10762" width="11.5703125" style="53" bestFit="1" customWidth="1"/>
    <col min="10763" max="10763" width="9.5703125" style="53" bestFit="1" customWidth="1"/>
    <col min="10764" max="10764" width="12.5703125" style="53" bestFit="1" customWidth="1"/>
    <col min="10765" max="10765" width="9.140625" style="53"/>
    <col min="10766" max="10766" width="7.140625" style="53" bestFit="1" customWidth="1"/>
    <col min="10767" max="10767" width="11.42578125" style="53" bestFit="1" customWidth="1"/>
    <col min="10768" max="11010" width="9.140625" style="53"/>
    <col min="11011" max="11013" width="11.5703125" style="53" bestFit="1" customWidth="1"/>
    <col min="11014" max="11014" width="9.7109375" style="53" bestFit="1" customWidth="1"/>
    <col min="11015" max="11015" width="13.7109375" style="53" bestFit="1" customWidth="1"/>
    <col min="11016" max="11016" width="12.5703125" style="53" bestFit="1" customWidth="1"/>
    <col min="11017" max="11018" width="11.5703125" style="53" bestFit="1" customWidth="1"/>
    <col min="11019" max="11019" width="9.5703125" style="53" bestFit="1" customWidth="1"/>
    <col min="11020" max="11020" width="12.5703125" style="53" bestFit="1" customWidth="1"/>
    <col min="11021" max="11021" width="9.140625" style="53"/>
    <col min="11022" max="11022" width="7.140625" style="53" bestFit="1" customWidth="1"/>
    <col min="11023" max="11023" width="11.42578125" style="53" bestFit="1" customWidth="1"/>
    <col min="11024" max="11266" width="9.140625" style="53"/>
    <col min="11267" max="11269" width="11.5703125" style="53" bestFit="1" customWidth="1"/>
    <col min="11270" max="11270" width="9.7109375" style="53" bestFit="1" customWidth="1"/>
    <col min="11271" max="11271" width="13.7109375" style="53" bestFit="1" customWidth="1"/>
    <col min="11272" max="11272" width="12.5703125" style="53" bestFit="1" customWidth="1"/>
    <col min="11273" max="11274" width="11.5703125" style="53" bestFit="1" customWidth="1"/>
    <col min="11275" max="11275" width="9.5703125" style="53" bestFit="1" customWidth="1"/>
    <col min="11276" max="11276" width="12.5703125" style="53" bestFit="1" customWidth="1"/>
    <col min="11277" max="11277" width="9.140625" style="53"/>
    <col min="11278" max="11278" width="7.140625" style="53" bestFit="1" customWidth="1"/>
    <col min="11279" max="11279" width="11.42578125" style="53" bestFit="1" customWidth="1"/>
    <col min="11280" max="11522" width="9.140625" style="53"/>
    <col min="11523" max="11525" width="11.5703125" style="53" bestFit="1" customWidth="1"/>
    <col min="11526" max="11526" width="9.7109375" style="53" bestFit="1" customWidth="1"/>
    <col min="11527" max="11527" width="13.7109375" style="53" bestFit="1" customWidth="1"/>
    <col min="11528" max="11528" width="12.5703125" style="53" bestFit="1" customWidth="1"/>
    <col min="11529" max="11530" width="11.5703125" style="53" bestFit="1" customWidth="1"/>
    <col min="11531" max="11531" width="9.5703125" style="53" bestFit="1" customWidth="1"/>
    <col min="11532" max="11532" width="12.5703125" style="53" bestFit="1" customWidth="1"/>
    <col min="11533" max="11533" width="9.140625" style="53"/>
    <col min="11534" max="11534" width="7.140625" style="53" bestFit="1" customWidth="1"/>
    <col min="11535" max="11535" width="11.42578125" style="53" bestFit="1" customWidth="1"/>
    <col min="11536" max="11778" width="9.140625" style="53"/>
    <col min="11779" max="11781" width="11.5703125" style="53" bestFit="1" customWidth="1"/>
    <col min="11782" max="11782" width="9.7109375" style="53" bestFit="1" customWidth="1"/>
    <col min="11783" max="11783" width="13.7109375" style="53" bestFit="1" customWidth="1"/>
    <col min="11784" max="11784" width="12.5703125" style="53" bestFit="1" customWidth="1"/>
    <col min="11785" max="11786" width="11.5703125" style="53" bestFit="1" customWidth="1"/>
    <col min="11787" max="11787" width="9.5703125" style="53" bestFit="1" customWidth="1"/>
    <col min="11788" max="11788" width="12.5703125" style="53" bestFit="1" customWidth="1"/>
    <col min="11789" max="11789" width="9.140625" style="53"/>
    <col min="11790" max="11790" width="7.140625" style="53" bestFit="1" customWidth="1"/>
    <col min="11791" max="11791" width="11.42578125" style="53" bestFit="1" customWidth="1"/>
    <col min="11792" max="12034" width="9.140625" style="53"/>
    <col min="12035" max="12037" width="11.5703125" style="53" bestFit="1" customWidth="1"/>
    <col min="12038" max="12038" width="9.7109375" style="53" bestFit="1" customWidth="1"/>
    <col min="12039" max="12039" width="13.7109375" style="53" bestFit="1" customWidth="1"/>
    <col min="12040" max="12040" width="12.5703125" style="53" bestFit="1" customWidth="1"/>
    <col min="12041" max="12042" width="11.5703125" style="53" bestFit="1" customWidth="1"/>
    <col min="12043" max="12043" width="9.5703125" style="53" bestFit="1" customWidth="1"/>
    <col min="12044" max="12044" width="12.5703125" style="53" bestFit="1" customWidth="1"/>
    <col min="12045" max="12045" width="9.140625" style="53"/>
    <col min="12046" max="12046" width="7.140625" style="53" bestFit="1" customWidth="1"/>
    <col min="12047" max="12047" width="11.42578125" style="53" bestFit="1" customWidth="1"/>
    <col min="12048" max="12290" width="9.140625" style="53"/>
    <col min="12291" max="12293" width="11.5703125" style="53" bestFit="1" customWidth="1"/>
    <col min="12294" max="12294" width="9.7109375" style="53" bestFit="1" customWidth="1"/>
    <col min="12295" max="12295" width="13.7109375" style="53" bestFit="1" customWidth="1"/>
    <col min="12296" max="12296" width="12.5703125" style="53" bestFit="1" customWidth="1"/>
    <col min="12297" max="12298" width="11.5703125" style="53" bestFit="1" customWidth="1"/>
    <col min="12299" max="12299" width="9.5703125" style="53" bestFit="1" customWidth="1"/>
    <col min="12300" max="12300" width="12.5703125" style="53" bestFit="1" customWidth="1"/>
    <col min="12301" max="12301" width="9.140625" style="53"/>
    <col min="12302" max="12302" width="7.140625" style="53" bestFit="1" customWidth="1"/>
    <col min="12303" max="12303" width="11.42578125" style="53" bestFit="1" customWidth="1"/>
    <col min="12304" max="12546" width="9.140625" style="53"/>
    <col min="12547" max="12549" width="11.5703125" style="53" bestFit="1" customWidth="1"/>
    <col min="12550" max="12550" width="9.7109375" style="53" bestFit="1" customWidth="1"/>
    <col min="12551" max="12551" width="13.7109375" style="53" bestFit="1" customWidth="1"/>
    <col min="12552" max="12552" width="12.5703125" style="53" bestFit="1" customWidth="1"/>
    <col min="12553" max="12554" width="11.5703125" style="53" bestFit="1" customWidth="1"/>
    <col min="12555" max="12555" width="9.5703125" style="53" bestFit="1" customWidth="1"/>
    <col min="12556" max="12556" width="12.5703125" style="53" bestFit="1" customWidth="1"/>
    <col min="12557" max="12557" width="9.140625" style="53"/>
    <col min="12558" max="12558" width="7.140625" style="53" bestFit="1" customWidth="1"/>
    <col min="12559" max="12559" width="11.42578125" style="53" bestFit="1" customWidth="1"/>
    <col min="12560" max="12802" width="9.140625" style="53"/>
    <col min="12803" max="12805" width="11.5703125" style="53" bestFit="1" customWidth="1"/>
    <col min="12806" max="12806" width="9.7109375" style="53" bestFit="1" customWidth="1"/>
    <col min="12807" max="12807" width="13.7109375" style="53" bestFit="1" customWidth="1"/>
    <col min="12808" max="12808" width="12.5703125" style="53" bestFit="1" customWidth="1"/>
    <col min="12809" max="12810" width="11.5703125" style="53" bestFit="1" customWidth="1"/>
    <col min="12811" max="12811" width="9.5703125" style="53" bestFit="1" customWidth="1"/>
    <col min="12812" max="12812" width="12.5703125" style="53" bestFit="1" customWidth="1"/>
    <col min="12813" max="12813" width="9.140625" style="53"/>
    <col min="12814" max="12814" width="7.140625" style="53" bestFit="1" customWidth="1"/>
    <col min="12815" max="12815" width="11.42578125" style="53" bestFit="1" customWidth="1"/>
    <col min="12816" max="13058" width="9.140625" style="53"/>
    <col min="13059" max="13061" width="11.5703125" style="53" bestFit="1" customWidth="1"/>
    <col min="13062" max="13062" width="9.7109375" style="53" bestFit="1" customWidth="1"/>
    <col min="13063" max="13063" width="13.7109375" style="53" bestFit="1" customWidth="1"/>
    <col min="13064" max="13064" width="12.5703125" style="53" bestFit="1" customWidth="1"/>
    <col min="13065" max="13066" width="11.5703125" style="53" bestFit="1" customWidth="1"/>
    <col min="13067" max="13067" width="9.5703125" style="53" bestFit="1" customWidth="1"/>
    <col min="13068" max="13068" width="12.5703125" style="53" bestFit="1" customWidth="1"/>
    <col min="13069" max="13069" width="9.140625" style="53"/>
    <col min="13070" max="13070" width="7.140625" style="53" bestFit="1" customWidth="1"/>
    <col min="13071" max="13071" width="11.42578125" style="53" bestFit="1" customWidth="1"/>
    <col min="13072" max="13314" width="9.140625" style="53"/>
    <col min="13315" max="13317" width="11.5703125" style="53" bestFit="1" customWidth="1"/>
    <col min="13318" max="13318" width="9.7109375" style="53" bestFit="1" customWidth="1"/>
    <col min="13319" max="13319" width="13.7109375" style="53" bestFit="1" customWidth="1"/>
    <col min="13320" max="13320" width="12.5703125" style="53" bestFit="1" customWidth="1"/>
    <col min="13321" max="13322" width="11.5703125" style="53" bestFit="1" customWidth="1"/>
    <col min="13323" max="13323" width="9.5703125" style="53" bestFit="1" customWidth="1"/>
    <col min="13324" max="13324" width="12.5703125" style="53" bestFit="1" customWidth="1"/>
    <col min="13325" max="13325" width="9.140625" style="53"/>
    <col min="13326" max="13326" width="7.140625" style="53" bestFit="1" customWidth="1"/>
    <col min="13327" max="13327" width="11.42578125" style="53" bestFit="1" customWidth="1"/>
    <col min="13328" max="13570" width="9.140625" style="53"/>
    <col min="13571" max="13573" width="11.5703125" style="53" bestFit="1" customWidth="1"/>
    <col min="13574" max="13574" width="9.7109375" style="53" bestFit="1" customWidth="1"/>
    <col min="13575" max="13575" width="13.7109375" style="53" bestFit="1" customWidth="1"/>
    <col min="13576" max="13576" width="12.5703125" style="53" bestFit="1" customWidth="1"/>
    <col min="13577" max="13578" width="11.5703125" style="53" bestFit="1" customWidth="1"/>
    <col min="13579" max="13579" width="9.5703125" style="53" bestFit="1" customWidth="1"/>
    <col min="13580" max="13580" width="12.5703125" style="53" bestFit="1" customWidth="1"/>
    <col min="13581" max="13581" width="9.140625" style="53"/>
    <col min="13582" max="13582" width="7.140625" style="53" bestFit="1" customWidth="1"/>
    <col min="13583" max="13583" width="11.42578125" style="53" bestFit="1" customWidth="1"/>
    <col min="13584" max="13826" width="9.140625" style="53"/>
    <col min="13827" max="13829" width="11.5703125" style="53" bestFit="1" customWidth="1"/>
    <col min="13830" max="13830" width="9.7109375" style="53" bestFit="1" customWidth="1"/>
    <col min="13831" max="13831" width="13.7109375" style="53" bestFit="1" customWidth="1"/>
    <col min="13832" max="13832" width="12.5703125" style="53" bestFit="1" customWidth="1"/>
    <col min="13833" max="13834" width="11.5703125" style="53" bestFit="1" customWidth="1"/>
    <col min="13835" max="13835" width="9.5703125" style="53" bestFit="1" customWidth="1"/>
    <col min="13836" max="13836" width="12.5703125" style="53" bestFit="1" customWidth="1"/>
    <col min="13837" max="13837" width="9.140625" style="53"/>
    <col min="13838" max="13838" width="7.140625" style="53" bestFit="1" customWidth="1"/>
    <col min="13839" max="13839" width="11.42578125" style="53" bestFit="1" customWidth="1"/>
    <col min="13840" max="14082" width="9.140625" style="53"/>
    <col min="14083" max="14085" width="11.5703125" style="53" bestFit="1" customWidth="1"/>
    <col min="14086" max="14086" width="9.7109375" style="53" bestFit="1" customWidth="1"/>
    <col min="14087" max="14087" width="13.7109375" style="53" bestFit="1" customWidth="1"/>
    <col min="14088" max="14088" width="12.5703125" style="53" bestFit="1" customWidth="1"/>
    <col min="14089" max="14090" width="11.5703125" style="53" bestFit="1" customWidth="1"/>
    <col min="14091" max="14091" width="9.5703125" style="53" bestFit="1" customWidth="1"/>
    <col min="14092" max="14092" width="12.5703125" style="53" bestFit="1" customWidth="1"/>
    <col min="14093" max="14093" width="9.140625" style="53"/>
    <col min="14094" max="14094" width="7.140625" style="53" bestFit="1" customWidth="1"/>
    <col min="14095" max="14095" width="11.42578125" style="53" bestFit="1" customWidth="1"/>
    <col min="14096" max="14338" width="9.140625" style="53"/>
    <col min="14339" max="14341" width="11.5703125" style="53" bestFit="1" customWidth="1"/>
    <col min="14342" max="14342" width="9.7109375" style="53" bestFit="1" customWidth="1"/>
    <col min="14343" max="14343" width="13.7109375" style="53" bestFit="1" customWidth="1"/>
    <col min="14344" max="14344" width="12.5703125" style="53" bestFit="1" customWidth="1"/>
    <col min="14345" max="14346" width="11.5703125" style="53" bestFit="1" customWidth="1"/>
    <col min="14347" max="14347" width="9.5703125" style="53" bestFit="1" customWidth="1"/>
    <col min="14348" max="14348" width="12.5703125" style="53" bestFit="1" customWidth="1"/>
    <col min="14349" max="14349" width="9.140625" style="53"/>
    <col min="14350" max="14350" width="7.140625" style="53" bestFit="1" customWidth="1"/>
    <col min="14351" max="14351" width="11.42578125" style="53" bestFit="1" customWidth="1"/>
    <col min="14352" max="14594" width="9.140625" style="53"/>
    <col min="14595" max="14597" width="11.5703125" style="53" bestFit="1" customWidth="1"/>
    <col min="14598" max="14598" width="9.7109375" style="53" bestFit="1" customWidth="1"/>
    <col min="14599" max="14599" width="13.7109375" style="53" bestFit="1" customWidth="1"/>
    <col min="14600" max="14600" width="12.5703125" style="53" bestFit="1" customWidth="1"/>
    <col min="14601" max="14602" width="11.5703125" style="53" bestFit="1" customWidth="1"/>
    <col min="14603" max="14603" width="9.5703125" style="53" bestFit="1" customWidth="1"/>
    <col min="14604" max="14604" width="12.5703125" style="53" bestFit="1" customWidth="1"/>
    <col min="14605" max="14605" width="9.140625" style="53"/>
    <col min="14606" max="14606" width="7.140625" style="53" bestFit="1" customWidth="1"/>
    <col min="14607" max="14607" width="11.42578125" style="53" bestFit="1" customWidth="1"/>
    <col min="14608" max="14850" width="9.140625" style="53"/>
    <col min="14851" max="14853" width="11.5703125" style="53" bestFit="1" customWidth="1"/>
    <col min="14854" max="14854" width="9.7109375" style="53" bestFit="1" customWidth="1"/>
    <col min="14855" max="14855" width="13.7109375" style="53" bestFit="1" customWidth="1"/>
    <col min="14856" max="14856" width="12.5703125" style="53" bestFit="1" customWidth="1"/>
    <col min="14857" max="14858" width="11.5703125" style="53" bestFit="1" customWidth="1"/>
    <col min="14859" max="14859" width="9.5703125" style="53" bestFit="1" customWidth="1"/>
    <col min="14860" max="14860" width="12.5703125" style="53" bestFit="1" customWidth="1"/>
    <col min="14861" max="14861" width="9.140625" style="53"/>
    <col min="14862" max="14862" width="7.140625" style="53" bestFit="1" customWidth="1"/>
    <col min="14863" max="14863" width="11.42578125" style="53" bestFit="1" customWidth="1"/>
    <col min="14864" max="15106" width="9.140625" style="53"/>
    <col min="15107" max="15109" width="11.5703125" style="53" bestFit="1" customWidth="1"/>
    <col min="15110" max="15110" width="9.7109375" style="53" bestFit="1" customWidth="1"/>
    <col min="15111" max="15111" width="13.7109375" style="53" bestFit="1" customWidth="1"/>
    <col min="15112" max="15112" width="12.5703125" style="53" bestFit="1" customWidth="1"/>
    <col min="15113" max="15114" width="11.5703125" style="53" bestFit="1" customWidth="1"/>
    <col min="15115" max="15115" width="9.5703125" style="53" bestFit="1" customWidth="1"/>
    <col min="15116" max="15116" width="12.5703125" style="53" bestFit="1" customWidth="1"/>
    <col min="15117" max="15117" width="9.140625" style="53"/>
    <col min="15118" max="15118" width="7.140625" style="53" bestFit="1" customWidth="1"/>
    <col min="15119" max="15119" width="11.42578125" style="53" bestFit="1" customWidth="1"/>
    <col min="15120" max="15362" width="9.140625" style="53"/>
    <col min="15363" max="15365" width="11.5703125" style="53" bestFit="1" customWidth="1"/>
    <col min="15366" max="15366" width="9.7109375" style="53" bestFit="1" customWidth="1"/>
    <col min="15367" max="15367" width="13.7109375" style="53" bestFit="1" customWidth="1"/>
    <col min="15368" max="15368" width="12.5703125" style="53" bestFit="1" customWidth="1"/>
    <col min="15369" max="15370" width="11.5703125" style="53" bestFit="1" customWidth="1"/>
    <col min="15371" max="15371" width="9.5703125" style="53" bestFit="1" customWidth="1"/>
    <col min="15372" max="15372" width="12.5703125" style="53" bestFit="1" customWidth="1"/>
    <col min="15373" max="15373" width="9.140625" style="53"/>
    <col min="15374" max="15374" width="7.140625" style="53" bestFit="1" customWidth="1"/>
    <col min="15375" max="15375" width="11.42578125" style="53" bestFit="1" customWidth="1"/>
    <col min="15376" max="15618" width="9.140625" style="53"/>
    <col min="15619" max="15621" width="11.5703125" style="53" bestFit="1" customWidth="1"/>
    <col min="15622" max="15622" width="9.7109375" style="53" bestFit="1" customWidth="1"/>
    <col min="15623" max="15623" width="13.7109375" style="53" bestFit="1" customWidth="1"/>
    <col min="15624" max="15624" width="12.5703125" style="53" bestFit="1" customWidth="1"/>
    <col min="15625" max="15626" width="11.5703125" style="53" bestFit="1" customWidth="1"/>
    <col min="15627" max="15627" width="9.5703125" style="53" bestFit="1" customWidth="1"/>
    <col min="15628" max="15628" width="12.5703125" style="53" bestFit="1" customWidth="1"/>
    <col min="15629" max="15629" width="9.140625" style="53"/>
    <col min="15630" max="15630" width="7.140625" style="53" bestFit="1" customWidth="1"/>
    <col min="15631" max="15631" width="11.42578125" style="53" bestFit="1" customWidth="1"/>
    <col min="15632" max="15874" width="9.140625" style="53"/>
    <col min="15875" max="15877" width="11.5703125" style="53" bestFit="1" customWidth="1"/>
    <col min="15878" max="15878" width="9.7109375" style="53" bestFit="1" customWidth="1"/>
    <col min="15879" max="15879" width="13.7109375" style="53" bestFit="1" customWidth="1"/>
    <col min="15880" max="15880" width="12.5703125" style="53" bestFit="1" customWidth="1"/>
    <col min="15881" max="15882" width="11.5703125" style="53" bestFit="1" customWidth="1"/>
    <col min="15883" max="15883" width="9.5703125" style="53" bestFit="1" customWidth="1"/>
    <col min="15884" max="15884" width="12.5703125" style="53" bestFit="1" customWidth="1"/>
    <col min="15885" max="15885" width="9.140625" style="53"/>
    <col min="15886" max="15886" width="7.140625" style="53" bestFit="1" customWidth="1"/>
    <col min="15887" max="15887" width="11.42578125" style="53" bestFit="1" customWidth="1"/>
    <col min="15888" max="16130" width="9.140625" style="53"/>
    <col min="16131" max="16133" width="11.5703125" style="53" bestFit="1" customWidth="1"/>
    <col min="16134" max="16134" width="9.7109375" style="53" bestFit="1" customWidth="1"/>
    <col min="16135" max="16135" width="13.7109375" style="53" bestFit="1" customWidth="1"/>
    <col min="16136" max="16136" width="12.5703125" style="53" bestFit="1" customWidth="1"/>
    <col min="16137" max="16138" width="11.5703125" style="53" bestFit="1" customWidth="1"/>
    <col min="16139" max="16139" width="9.5703125" style="53" bestFit="1" customWidth="1"/>
    <col min="16140" max="16140" width="12.5703125" style="53" bestFit="1" customWidth="1"/>
    <col min="16141" max="16141" width="9.140625" style="53"/>
    <col min="16142" max="16142" width="7.140625" style="53" bestFit="1" customWidth="1"/>
    <col min="16143" max="16143" width="11.42578125" style="53" bestFit="1" customWidth="1"/>
    <col min="16144" max="16384" width="9.140625" style="53"/>
  </cols>
  <sheetData>
    <row r="1" spans="1:15">
      <c r="A1" s="53" t="s">
        <v>75</v>
      </c>
    </row>
    <row r="2" spans="1:15">
      <c r="A2" s="53" t="s">
        <v>76</v>
      </c>
    </row>
    <row r="4" spans="1:15">
      <c r="A4" s="54" t="s">
        <v>77</v>
      </c>
      <c r="B4" s="82" t="s">
        <v>120</v>
      </c>
      <c r="C4" s="54" t="s">
        <v>79</v>
      </c>
      <c r="D4" s="54" t="s">
        <v>80</v>
      </c>
      <c r="E4" s="54" t="s">
        <v>81</v>
      </c>
      <c r="F4" s="54" t="s">
        <v>82</v>
      </c>
      <c r="G4" s="54" t="s">
        <v>83</v>
      </c>
      <c r="H4" s="54" t="s">
        <v>84</v>
      </c>
      <c r="I4" s="54" t="s">
        <v>85</v>
      </c>
      <c r="J4" s="82" t="s">
        <v>122</v>
      </c>
      <c r="K4" s="82" t="s">
        <v>121</v>
      </c>
      <c r="L4" s="54" t="s">
        <v>88</v>
      </c>
      <c r="M4" s="54" t="s">
        <v>89</v>
      </c>
      <c r="N4" s="55" t="s">
        <v>90</v>
      </c>
      <c r="O4" s="56" t="s">
        <v>91</v>
      </c>
    </row>
    <row r="5" spans="1:15">
      <c r="A5" s="55">
        <v>1</v>
      </c>
      <c r="B5" s="55">
        <v>1850</v>
      </c>
      <c r="C5" s="57">
        <v>1844.9846315789473</v>
      </c>
      <c r="D5" s="57">
        <v>1307.9473684210527</v>
      </c>
      <c r="E5" s="57">
        <v>1713.6842105263158</v>
      </c>
      <c r="F5" s="58">
        <v>0.2873684210526315</v>
      </c>
      <c r="G5" s="58">
        <v>616.85368421052635</v>
      </c>
      <c r="H5" s="58">
        <v>204.21315789473684</v>
      </c>
      <c r="I5" s="58">
        <v>25.574210526315795</v>
      </c>
      <c r="J5" s="58">
        <v>10.968894736842104</v>
      </c>
      <c r="K5" s="58">
        <v>1.6070526315789475</v>
      </c>
      <c r="L5" s="57">
        <v>2420.1578947368421</v>
      </c>
      <c r="M5" s="80">
        <v>50</v>
      </c>
      <c r="N5" s="58">
        <f t="shared" ref="N5:N43" si="0">H5/1053</f>
        <v>0.19393462288199129</v>
      </c>
      <c r="O5" s="58">
        <f t="shared" ref="O5:O44" si="1">700*N5/94</f>
        <v>1.4441940001850415</v>
      </c>
    </row>
    <row r="6" spans="1:15">
      <c r="A6" s="55">
        <v>2</v>
      </c>
      <c r="B6" s="55">
        <v>1800</v>
      </c>
      <c r="C6" s="57">
        <v>1796.0055263157897</v>
      </c>
      <c r="D6" s="57">
        <v>1272.6315789473683</v>
      </c>
      <c r="E6" s="57">
        <v>1686.7368421052631</v>
      </c>
      <c r="F6" s="58">
        <v>0.55631578947368421</v>
      </c>
      <c r="G6" s="58">
        <v>313.79578947368418</v>
      </c>
      <c r="H6" s="58">
        <v>107.47684210526317</v>
      </c>
      <c r="I6" s="58">
        <v>24.496842105263163</v>
      </c>
      <c r="J6" s="58">
        <v>5.6156315789473679</v>
      </c>
      <c r="K6" s="58">
        <v>1.4052631578947365</v>
      </c>
      <c r="L6" s="57">
        <v>4646.1578947368425</v>
      </c>
      <c r="M6" s="80">
        <v>50</v>
      </c>
      <c r="N6" s="58">
        <f t="shared" si="0"/>
        <v>0.10206727645324139</v>
      </c>
      <c r="O6" s="58">
        <f t="shared" si="1"/>
        <v>0.76007546294966988</v>
      </c>
    </row>
    <row r="7" spans="1:15">
      <c r="A7" s="55">
        <v>3</v>
      </c>
      <c r="B7" s="55">
        <v>1700</v>
      </c>
      <c r="C7" s="57">
        <v>1697.4077894736843</v>
      </c>
      <c r="D7" s="57">
        <v>1202.0526315789473</v>
      </c>
      <c r="E7" s="57">
        <v>1602.6842105263158</v>
      </c>
      <c r="F7" s="58">
        <v>1.6810526315789474</v>
      </c>
      <c r="G7" s="58">
        <v>105.66947368421053</v>
      </c>
      <c r="H7" s="58">
        <v>44.667368421052636</v>
      </c>
      <c r="I7" s="58">
        <v>22.741578947368421</v>
      </c>
      <c r="J7" s="58">
        <v>2.2044736842105261</v>
      </c>
      <c r="K7" s="58">
        <v>1.090157894736842</v>
      </c>
      <c r="L7" s="57">
        <v>12966</v>
      </c>
      <c r="M7" s="80">
        <v>50</v>
      </c>
      <c r="N7" s="58">
        <f t="shared" si="0"/>
        <v>4.2419153296346282E-2</v>
      </c>
      <c r="O7" s="58">
        <f t="shared" si="1"/>
        <v>0.31588731178130208</v>
      </c>
    </row>
    <row r="8" spans="1:15">
      <c r="A8" s="55">
        <v>4</v>
      </c>
      <c r="B8" s="55">
        <v>1600</v>
      </c>
      <c r="C8" s="57">
        <v>1598.2765789473681</v>
      </c>
      <c r="D8" s="57">
        <v>1131.578947368421</v>
      </c>
      <c r="E8" s="57">
        <v>1501.9473684210527</v>
      </c>
      <c r="F8" s="58">
        <v>2.6510526315789478</v>
      </c>
      <c r="G8" s="58">
        <v>55.151578947368428</v>
      </c>
      <c r="H8" s="58">
        <v>29.395789473684211</v>
      </c>
      <c r="I8" s="58">
        <v>21.472105263157896</v>
      </c>
      <c r="J8" s="58">
        <v>1.3656315789473685</v>
      </c>
      <c r="K8" s="58">
        <v>0.89752631578947373</v>
      </c>
      <c r="L8" s="57">
        <v>23237.052631578947</v>
      </c>
      <c r="M8" s="80">
        <v>50</v>
      </c>
      <c r="N8" s="58">
        <f t="shared" si="0"/>
        <v>2.7916229319738091E-2</v>
      </c>
      <c r="O8" s="58">
        <f t="shared" si="1"/>
        <v>0.20788681408315599</v>
      </c>
    </row>
    <row r="9" spans="1:15">
      <c r="A9" s="55">
        <v>5</v>
      </c>
      <c r="B9" s="55">
        <v>1500</v>
      </c>
      <c r="C9" s="57">
        <v>1497.6702105263157</v>
      </c>
      <c r="D9" s="57">
        <v>1060.3157894736842</v>
      </c>
      <c r="E9" s="57">
        <v>1394.578947368421</v>
      </c>
      <c r="F9" s="58">
        <v>4.4447368421052635</v>
      </c>
      <c r="G9" s="58">
        <v>37.660526315789475</v>
      </c>
      <c r="H9" s="58">
        <v>23.85157894736842</v>
      </c>
      <c r="I9" s="58">
        <v>20.497368421052634</v>
      </c>
      <c r="J9" s="58">
        <v>1.0381578947368422</v>
      </c>
      <c r="K9" s="58">
        <v>0.76331578947368417</v>
      </c>
      <c r="L9" s="57">
        <v>31762.947368421053</v>
      </c>
      <c r="M9" s="80">
        <v>50</v>
      </c>
      <c r="N9" s="58">
        <f t="shared" si="0"/>
        <v>2.2651072124756335E-2</v>
      </c>
      <c r="O9" s="58">
        <f t="shared" si="1"/>
        <v>0.16867819667371739</v>
      </c>
    </row>
    <row r="10" spans="1:15">
      <c r="A10" s="55">
        <v>6</v>
      </c>
      <c r="B10" s="55">
        <v>1400</v>
      </c>
      <c r="C10" s="57">
        <v>1397.4949999999999</v>
      </c>
      <c r="D10" s="57">
        <v>989.52631578947364</v>
      </c>
      <c r="E10" s="57">
        <v>1287</v>
      </c>
      <c r="F10" s="58">
        <v>3.8731578947368424</v>
      </c>
      <c r="G10" s="58">
        <v>29.37842105263158</v>
      </c>
      <c r="H10" s="58">
        <v>20.671052631578945</v>
      </c>
      <c r="I10" s="58">
        <v>19.588947368421049</v>
      </c>
      <c r="J10" s="58">
        <v>0.83952631578947357</v>
      </c>
      <c r="K10" s="58">
        <v>0.65547368421052632</v>
      </c>
      <c r="L10" s="57">
        <v>37957.473684210527</v>
      </c>
      <c r="M10" s="80">
        <v>50</v>
      </c>
      <c r="N10" s="58">
        <f t="shared" si="0"/>
        <v>1.9630629279752086E-2</v>
      </c>
      <c r="O10" s="58">
        <f t="shared" si="1"/>
        <v>0.14618553718964319</v>
      </c>
    </row>
    <row r="11" spans="1:15">
      <c r="A11" s="55">
        <v>7</v>
      </c>
      <c r="B11" s="55">
        <v>1300</v>
      </c>
      <c r="C11" s="57">
        <v>1298.1565263157893</v>
      </c>
      <c r="D11" s="57">
        <v>919.0526315789474</v>
      </c>
      <c r="E11" s="57">
        <v>1176.421052631579</v>
      </c>
      <c r="F11" s="58">
        <v>2.7715789473684209</v>
      </c>
      <c r="G11" s="58">
        <v>24.918947368421055</v>
      </c>
      <c r="H11" s="58">
        <v>18.583157894736843</v>
      </c>
      <c r="I11" s="58">
        <v>18.617368421052632</v>
      </c>
      <c r="J11" s="58">
        <v>0.70094736842105265</v>
      </c>
      <c r="K11" s="58">
        <v>0.56047368421052612</v>
      </c>
      <c r="L11" s="57">
        <v>41562.368421052633</v>
      </c>
      <c r="M11" s="80">
        <v>50</v>
      </c>
      <c r="N11" s="58">
        <f t="shared" si="0"/>
        <v>1.7647823261858351E-2</v>
      </c>
      <c r="O11" s="58">
        <f t="shared" si="1"/>
        <v>0.1314199604606473</v>
      </c>
    </row>
    <row r="12" spans="1:15">
      <c r="A12" s="55">
        <v>8</v>
      </c>
      <c r="B12" s="55">
        <v>1200</v>
      </c>
      <c r="C12" s="57">
        <v>1198.2580526315789</v>
      </c>
      <c r="D12" s="57">
        <v>848.26315789473688</v>
      </c>
      <c r="E12" s="57">
        <v>1067.8947368421052</v>
      </c>
      <c r="F12" s="58">
        <v>1.9363157894736842</v>
      </c>
      <c r="G12" s="58">
        <v>22.358947368421045</v>
      </c>
      <c r="H12" s="58">
        <v>17.042631578947365</v>
      </c>
      <c r="I12" s="58">
        <v>17.649999999999999</v>
      </c>
      <c r="J12" s="58">
        <v>0.5932631578947366</v>
      </c>
      <c r="K12" s="58">
        <v>0.47800000000000004</v>
      </c>
      <c r="L12" s="57">
        <v>42753.526315789473</v>
      </c>
      <c r="M12" s="80">
        <v>50</v>
      </c>
      <c r="N12" s="58">
        <f t="shared" si="0"/>
        <v>1.6184835307642323E-2</v>
      </c>
      <c r="O12" s="58">
        <f t="shared" si="1"/>
        <v>0.12052536931223007</v>
      </c>
    </row>
    <row r="13" spans="1:15">
      <c r="A13" s="55">
        <v>9</v>
      </c>
      <c r="B13" s="55">
        <v>1100</v>
      </c>
      <c r="C13" s="57">
        <v>1098.2684210526318</v>
      </c>
      <c r="D13" s="57">
        <v>777.26315789473688</v>
      </c>
      <c r="E13" s="57">
        <v>960.36842105263156</v>
      </c>
      <c r="F13" s="58">
        <v>1.4242105263157896</v>
      </c>
      <c r="G13" s="58">
        <v>20.658421052631581</v>
      </c>
      <c r="H13" s="58">
        <v>15.747368421052627</v>
      </c>
      <c r="I13" s="58">
        <v>16.627368421052633</v>
      </c>
      <c r="J13" s="58">
        <v>0.50242105263157888</v>
      </c>
      <c r="K13" s="58">
        <v>0.40378947368421048</v>
      </c>
      <c r="L13" s="57">
        <v>42438.42105263158</v>
      </c>
      <c r="M13" s="80">
        <v>50</v>
      </c>
      <c r="N13" s="58">
        <f t="shared" si="0"/>
        <v>1.4954765831958811E-2</v>
      </c>
      <c r="O13" s="58">
        <f t="shared" si="1"/>
        <v>0.1113652774720337</v>
      </c>
    </row>
    <row r="14" spans="1:15">
      <c r="A14" s="55">
        <v>10</v>
      </c>
      <c r="B14" s="55">
        <v>1000</v>
      </c>
      <c r="C14" s="57">
        <v>998.12210526315812</v>
      </c>
      <c r="D14" s="57">
        <v>706.47368421052636</v>
      </c>
      <c r="E14" s="57">
        <v>854.42105263157896</v>
      </c>
      <c r="F14" s="58">
        <v>1.4794736842105265</v>
      </c>
      <c r="G14" s="58">
        <v>19.438947368421047</v>
      </c>
      <c r="H14" s="58">
        <v>14.777894736842104</v>
      </c>
      <c r="I14" s="58">
        <v>15.656842105263156</v>
      </c>
      <c r="J14" s="58">
        <v>0.42847368421052634</v>
      </c>
      <c r="K14" s="58">
        <v>0.33984210526315789</v>
      </c>
      <c r="L14" s="57">
        <v>40961.26315789474</v>
      </c>
      <c r="M14" s="80">
        <v>50</v>
      </c>
      <c r="N14" s="58">
        <f t="shared" si="0"/>
        <v>1.4034088069175787E-2</v>
      </c>
      <c r="O14" s="58">
        <f t="shared" si="1"/>
        <v>0.10450916647258565</v>
      </c>
    </row>
    <row r="15" spans="1:15">
      <c r="A15" s="55">
        <v>11</v>
      </c>
      <c r="B15" s="55">
        <v>900</v>
      </c>
      <c r="C15" s="57">
        <v>897.86099999999999</v>
      </c>
      <c r="D15" s="57">
        <v>635.31578947368416</v>
      </c>
      <c r="E15" s="57">
        <v>750.10526315789468</v>
      </c>
      <c r="F15" s="58">
        <v>1.5242105263157895</v>
      </c>
      <c r="G15" s="58">
        <v>18.245789473684209</v>
      </c>
      <c r="H15" s="58">
        <v>13.768947368421053</v>
      </c>
      <c r="I15" s="58">
        <v>14.57368421052632</v>
      </c>
      <c r="J15" s="58">
        <v>0.35899999999999993</v>
      </c>
      <c r="K15" s="58">
        <v>0.28026315789473683</v>
      </c>
      <c r="L15" s="57">
        <v>39277.631578947367</v>
      </c>
      <c r="M15" s="80">
        <v>50</v>
      </c>
      <c r="N15" s="58">
        <f t="shared" si="0"/>
        <v>1.3075923426800621E-2</v>
      </c>
      <c r="O15" s="58">
        <f t="shared" si="1"/>
        <v>9.7373897859153555E-2</v>
      </c>
    </row>
    <row r="16" spans="1:15">
      <c r="A16" s="55">
        <v>12</v>
      </c>
      <c r="B16" s="55">
        <v>800</v>
      </c>
      <c r="C16" s="57">
        <v>797.98726315789463</v>
      </c>
      <c r="D16" s="57">
        <v>564.73684210526312</v>
      </c>
      <c r="E16" s="57">
        <v>649.15789473684208</v>
      </c>
      <c r="F16" s="58">
        <v>1.4647368421052633</v>
      </c>
      <c r="G16" s="58">
        <v>17.020526315789475</v>
      </c>
      <c r="H16" s="58">
        <v>12.748947368421051</v>
      </c>
      <c r="I16" s="58">
        <v>13.423684210526314</v>
      </c>
      <c r="J16" s="58">
        <v>0.2953684210526315</v>
      </c>
      <c r="K16" s="58">
        <v>0.22657894736842113</v>
      </c>
      <c r="L16" s="57">
        <v>37410.684210526313</v>
      </c>
      <c r="M16" s="80">
        <v>50</v>
      </c>
      <c r="N16" s="58">
        <f t="shared" si="0"/>
        <v>1.210726245813965E-2</v>
      </c>
      <c r="O16" s="58">
        <f t="shared" si="1"/>
        <v>9.0160465113805904E-2</v>
      </c>
    </row>
    <row r="17" spans="1:17">
      <c r="A17" s="55">
        <v>13</v>
      </c>
      <c r="B17" s="55">
        <v>700</v>
      </c>
      <c r="C17" s="57">
        <v>698.13700000000006</v>
      </c>
      <c r="D17" s="57">
        <v>494</v>
      </c>
      <c r="E17" s="57">
        <v>551.47368421052636</v>
      </c>
      <c r="F17" s="58">
        <v>1.28</v>
      </c>
      <c r="G17" s="58">
        <v>15.755263157894738</v>
      </c>
      <c r="H17" s="58">
        <v>11.71263157894737</v>
      </c>
      <c r="I17" s="58">
        <v>12.203157894736842</v>
      </c>
      <c r="J17" s="58">
        <v>0.23731578947368423</v>
      </c>
      <c r="K17" s="58">
        <v>0.17836842105263156</v>
      </c>
      <c r="L17" s="57">
        <v>35384.210526315786</v>
      </c>
      <c r="M17" s="80">
        <v>50</v>
      </c>
      <c r="N17" s="58">
        <f t="shared" si="0"/>
        <v>1.1123106912580599E-2</v>
      </c>
      <c r="O17" s="58">
        <f t="shared" si="1"/>
        <v>8.2831647221344881E-2</v>
      </c>
    </row>
    <row r="18" spans="1:17">
      <c r="A18" s="55">
        <v>14</v>
      </c>
      <c r="B18" s="55">
        <v>600</v>
      </c>
      <c r="C18" s="57">
        <v>598.22121052631587</v>
      </c>
      <c r="D18" s="57">
        <v>423.15789473684208</v>
      </c>
      <c r="E18" s="57">
        <v>457.68421052631578</v>
      </c>
      <c r="F18" s="58">
        <v>1.0347368421052632</v>
      </c>
      <c r="G18" s="58">
        <v>14.41421052631579</v>
      </c>
      <c r="H18" s="58">
        <v>10.640526315789472</v>
      </c>
      <c r="I18" s="58">
        <v>10.91</v>
      </c>
      <c r="J18" s="58">
        <v>0.18468421052631578</v>
      </c>
      <c r="K18" s="58">
        <v>0.13521052631578948</v>
      </c>
      <c r="L18" s="57">
        <v>33185.84210526316</v>
      </c>
      <c r="M18" s="80">
        <v>50</v>
      </c>
      <c r="N18" s="58">
        <f t="shared" si="0"/>
        <v>1.0104963262857999E-2</v>
      </c>
      <c r="O18" s="58">
        <f t="shared" si="1"/>
        <v>7.5249726425538288E-2</v>
      </c>
    </row>
    <row r="19" spans="1:17">
      <c r="A19" s="55">
        <v>15</v>
      </c>
      <c r="B19" s="55">
        <v>500</v>
      </c>
      <c r="C19" s="57">
        <v>498.16605263157891</v>
      </c>
      <c r="D19" s="57">
        <v>352.31578947368422</v>
      </c>
      <c r="E19" s="57">
        <v>368.26315789473682</v>
      </c>
      <c r="F19" s="58">
        <v>0.78947368421052633</v>
      </c>
      <c r="G19" s="58">
        <v>12.975263157894739</v>
      </c>
      <c r="H19" s="58">
        <v>9.5347368421052625</v>
      </c>
      <c r="I19" s="58">
        <v>9.5568421052631578</v>
      </c>
      <c r="J19" s="58">
        <v>0.1376842105263158</v>
      </c>
      <c r="K19" s="58">
        <v>9.8000000000000018E-2</v>
      </c>
      <c r="L19" s="57">
        <v>30680.736842105263</v>
      </c>
      <c r="M19" s="80">
        <v>50</v>
      </c>
      <c r="N19" s="58">
        <f t="shared" si="0"/>
        <v>9.0548308092167733E-3</v>
      </c>
      <c r="O19" s="58">
        <f t="shared" si="1"/>
        <v>6.7429591132465341E-2</v>
      </c>
    </row>
    <row r="20" spans="1:17">
      <c r="A20" s="55">
        <v>16</v>
      </c>
      <c r="B20" s="55">
        <v>400</v>
      </c>
      <c r="C20" s="57">
        <v>398.19926315789473</v>
      </c>
      <c r="D20" s="57">
        <v>281.57894736842104</v>
      </c>
      <c r="E20" s="57">
        <v>283.05263157894734</v>
      </c>
      <c r="F20" s="58">
        <v>0.6110526315789474</v>
      </c>
      <c r="G20" s="58">
        <v>11.396315789473682</v>
      </c>
      <c r="H20" s="58">
        <v>8.3505263157894749</v>
      </c>
      <c r="I20" s="58">
        <v>8.11</v>
      </c>
      <c r="J20" s="58">
        <v>9.6105263157894735E-2</v>
      </c>
      <c r="K20" s="58">
        <v>6.5947368421052643E-2</v>
      </c>
      <c r="L20" s="57">
        <v>27939.315789473683</v>
      </c>
      <c r="M20" s="80">
        <v>50</v>
      </c>
      <c r="N20" s="58">
        <f t="shared" si="0"/>
        <v>7.9302244214524923E-3</v>
      </c>
      <c r="O20" s="58">
        <f t="shared" si="1"/>
        <v>5.9054862712944092E-2</v>
      </c>
    </row>
    <row r="21" spans="1:17">
      <c r="A21" s="55">
        <v>17</v>
      </c>
      <c r="B21" s="55">
        <v>300</v>
      </c>
      <c r="C21" s="57">
        <v>298.18589473684204</v>
      </c>
      <c r="D21" s="57">
        <v>210.73684210526315</v>
      </c>
      <c r="E21" s="57">
        <v>202.10526315789474</v>
      </c>
      <c r="F21" s="58">
        <v>0.53</v>
      </c>
      <c r="G21" s="58">
        <v>9.6452631578947372</v>
      </c>
      <c r="H21" s="58">
        <v>7.0515789473684203</v>
      </c>
      <c r="I21" s="58">
        <v>6.5468421052631589</v>
      </c>
      <c r="J21" s="58">
        <v>6.0736842105263179E-2</v>
      </c>
      <c r="K21" s="58">
        <v>3.9526315789473687E-2</v>
      </c>
      <c r="L21" s="57">
        <v>24764.473684210527</v>
      </c>
      <c r="M21" s="80">
        <v>50</v>
      </c>
      <c r="N21" s="58">
        <f t="shared" si="0"/>
        <v>6.6966561703403803E-3</v>
      </c>
      <c r="O21" s="58">
        <f t="shared" si="1"/>
        <v>4.9868716162109215E-2</v>
      </c>
    </row>
    <row r="22" spans="1:17">
      <c r="A22" s="55">
        <v>18</v>
      </c>
      <c r="B22" s="55">
        <v>200</v>
      </c>
      <c r="C22" s="57">
        <v>197.88542105263159</v>
      </c>
      <c r="D22" s="57">
        <v>139.73684210526315</v>
      </c>
      <c r="E22" s="57">
        <v>124.10526315789474</v>
      </c>
      <c r="F22" s="58">
        <v>0.55894736842105264</v>
      </c>
      <c r="G22" s="58">
        <v>7.8447368421052639</v>
      </c>
      <c r="H22" s="58">
        <v>5.7284210526315782</v>
      </c>
      <c r="I22" s="58">
        <v>4.9215789473684213</v>
      </c>
      <c r="J22" s="58">
        <v>3.2526315789473695E-2</v>
      </c>
      <c r="K22" s="58">
        <v>1.9368421052631583E-2</v>
      </c>
      <c r="L22" s="57">
        <v>20374.63157894737</v>
      </c>
      <c r="M22" s="80">
        <v>50</v>
      </c>
      <c r="N22" s="58">
        <f>H22/1053</f>
        <v>5.4400959664117551E-3</v>
      </c>
      <c r="O22" s="58">
        <f t="shared" si="1"/>
        <v>4.0511352941364133E-2</v>
      </c>
      <c r="P22" s="83" t="s">
        <v>123</v>
      </c>
      <c r="Q22" s="83" t="s">
        <v>124</v>
      </c>
    </row>
    <row r="23" spans="1:17">
      <c r="A23" s="55">
        <v>19</v>
      </c>
      <c r="B23" s="55">
        <v>1850</v>
      </c>
      <c r="C23" s="57">
        <v>1845.2441578947366</v>
      </c>
      <c r="D23" s="57">
        <v>1308.2105263157894</v>
      </c>
      <c r="E23" s="57">
        <v>1717.3157894736842</v>
      </c>
      <c r="F23" s="58">
        <v>0.22842105263157894</v>
      </c>
      <c r="G23" s="58">
        <v>627.59947368421047</v>
      </c>
      <c r="H23" s="58">
        <v>208.10789473684213</v>
      </c>
      <c r="I23" s="58">
        <v>28.013684210526314</v>
      </c>
      <c r="J23" s="58">
        <v>13.413736842105262</v>
      </c>
      <c r="K23" s="58">
        <v>2.0662105263157895</v>
      </c>
      <c r="L23" s="57">
        <v>2378.5263157894738</v>
      </c>
      <c r="M23" s="55">
        <v>60</v>
      </c>
      <c r="N23" s="58">
        <f>H23/1053</f>
        <v>0.19763332833508274</v>
      </c>
      <c r="O23" s="58">
        <f t="shared" si="1"/>
        <v>1.4717375514314672</v>
      </c>
      <c r="P23" s="84">
        <f>J23/J5</f>
        <v>1.2228886468434665</v>
      </c>
      <c r="Q23" s="84">
        <f>K23/K5</f>
        <v>1.2857142857142856</v>
      </c>
    </row>
    <row r="24" spans="1:17">
      <c r="A24" s="55">
        <v>20</v>
      </c>
      <c r="B24" s="55">
        <v>1800</v>
      </c>
      <c r="C24" s="57">
        <v>1796.4700526315787</v>
      </c>
      <c r="D24" s="57">
        <v>1272.6842105263158</v>
      </c>
      <c r="E24" s="57">
        <v>1691.6315789473683</v>
      </c>
      <c r="F24" s="58">
        <v>0.49842105263157888</v>
      </c>
      <c r="G24" s="58">
        <v>318.05315789473684</v>
      </c>
      <c r="H24" s="58">
        <v>109.26052631578949</v>
      </c>
      <c r="I24" s="58">
        <v>26.95684210526316</v>
      </c>
      <c r="J24" s="58">
        <v>6.8511578947368408</v>
      </c>
      <c r="K24" s="58">
        <v>1.813315789473684</v>
      </c>
      <c r="L24" s="57">
        <v>4579</v>
      </c>
      <c r="M24" s="55">
        <v>60</v>
      </c>
      <c r="N24" s="58">
        <f t="shared" si="0"/>
        <v>0.103761183585745</v>
      </c>
      <c r="O24" s="58">
        <f t="shared" si="1"/>
        <v>0.77268966500022873</v>
      </c>
      <c r="P24" s="85">
        <f t="shared" ref="P24:Q40" si="2">J24/J6</f>
        <v>1.2200155580756722</v>
      </c>
      <c r="Q24" s="85">
        <f t="shared" si="2"/>
        <v>1.290374531835206</v>
      </c>
    </row>
    <row r="25" spans="1:17">
      <c r="A25" s="55">
        <v>21</v>
      </c>
      <c r="B25" s="55">
        <v>1700</v>
      </c>
      <c r="C25" s="57">
        <v>1697.5922631578946</v>
      </c>
      <c r="D25" s="57">
        <v>1201.9473684210527</v>
      </c>
      <c r="E25" s="57">
        <v>1609.6842105263158</v>
      </c>
      <c r="F25" s="58">
        <v>1.6021052631578947</v>
      </c>
      <c r="G25" s="58">
        <v>106.01</v>
      </c>
      <c r="H25" s="58">
        <v>45.636315789473684</v>
      </c>
      <c r="I25" s="58">
        <v>25.098947368421054</v>
      </c>
      <c r="J25" s="58">
        <v>2.7026315789473689</v>
      </c>
      <c r="K25" s="58">
        <v>1.4172105263157895</v>
      </c>
      <c r="L25" s="57">
        <v>12920.631578947368</v>
      </c>
      <c r="M25" s="55">
        <v>60</v>
      </c>
      <c r="N25" s="58">
        <f t="shared" si="0"/>
        <v>4.3339331234068079E-2</v>
      </c>
      <c r="O25" s="58">
        <f t="shared" si="1"/>
        <v>0.32273970067923036</v>
      </c>
      <c r="P25" s="85">
        <f t="shared" si="2"/>
        <v>1.2259758863554975</v>
      </c>
      <c r="Q25" s="85">
        <f t="shared" si="2"/>
        <v>1.3000048278858689</v>
      </c>
    </row>
    <row r="26" spans="1:17">
      <c r="A26" s="55">
        <v>22</v>
      </c>
      <c r="B26" s="55">
        <v>1600</v>
      </c>
      <c r="C26" s="57">
        <v>1598.164</v>
      </c>
      <c r="D26" s="57">
        <v>1131.6842105263158</v>
      </c>
      <c r="E26" s="57">
        <v>1509.8421052631579</v>
      </c>
      <c r="F26" s="58">
        <v>2.4736842105263159</v>
      </c>
      <c r="G26" s="58">
        <v>55.67</v>
      </c>
      <c r="H26" s="58">
        <v>30.57368421052632</v>
      </c>
      <c r="I26" s="58">
        <v>23.747368421052627</v>
      </c>
      <c r="J26" s="58">
        <v>1.7041578947368423</v>
      </c>
      <c r="K26" s="58">
        <v>1.1745789473684207</v>
      </c>
      <c r="L26" s="57">
        <v>23006.157894736843</v>
      </c>
      <c r="M26" s="55">
        <v>60</v>
      </c>
      <c r="N26" s="58">
        <f t="shared" si="0"/>
        <v>2.9034837806767636E-2</v>
      </c>
      <c r="O26" s="58">
        <f t="shared" si="1"/>
        <v>0.21621687728443983</v>
      </c>
      <c r="P26" s="85">
        <f t="shared" si="2"/>
        <v>1.2478899294716153</v>
      </c>
      <c r="Q26" s="85">
        <f t="shared" si="2"/>
        <v>1.3086846889110415</v>
      </c>
    </row>
    <row r="27" spans="1:17">
      <c r="A27" s="55">
        <v>23</v>
      </c>
      <c r="B27" s="55">
        <v>1500</v>
      </c>
      <c r="C27" s="57">
        <v>1498.2418947368419</v>
      </c>
      <c r="D27" s="57">
        <v>1060.6315789473683</v>
      </c>
      <c r="E27" s="57">
        <v>1404.3684210526317</v>
      </c>
      <c r="F27" s="58">
        <v>4.3184210526315789</v>
      </c>
      <c r="G27" s="58">
        <v>38.518947368421053</v>
      </c>
      <c r="H27" s="58">
        <v>25.152105263157893</v>
      </c>
      <c r="I27" s="58">
        <v>22.663157894736845</v>
      </c>
      <c r="J27" s="58">
        <v>1.3140526315789476</v>
      </c>
      <c r="K27" s="58">
        <v>1.0029473684210526</v>
      </c>
      <c r="L27" s="57">
        <v>31055.63157894737</v>
      </c>
      <c r="M27" s="55">
        <v>60</v>
      </c>
      <c r="N27" s="58">
        <f t="shared" si="0"/>
        <v>2.3886139851052129E-2</v>
      </c>
      <c r="O27" s="58">
        <f t="shared" si="1"/>
        <v>0.1778755095291116</v>
      </c>
      <c r="P27" s="85">
        <f t="shared" si="2"/>
        <v>1.2657541191381496</v>
      </c>
      <c r="Q27" s="85">
        <f t="shared" si="2"/>
        <v>1.3139350479211198</v>
      </c>
    </row>
    <row r="28" spans="1:17">
      <c r="A28" s="55">
        <v>24</v>
      </c>
      <c r="B28" s="55">
        <v>1400</v>
      </c>
      <c r="C28" s="57">
        <v>1397.9136315789472</v>
      </c>
      <c r="D28" s="57">
        <v>989.52631578947364</v>
      </c>
      <c r="E28" s="57">
        <v>1297.578947368421</v>
      </c>
      <c r="F28" s="58">
        <v>3.7515789473684209</v>
      </c>
      <c r="G28" s="58">
        <v>30.366842105263153</v>
      </c>
      <c r="H28" s="58">
        <v>21.96631578947369</v>
      </c>
      <c r="I28" s="58">
        <v>21.637894736842107</v>
      </c>
      <c r="J28" s="58">
        <v>1.0707894736842105</v>
      </c>
      <c r="K28" s="58">
        <v>0.86205263157894729</v>
      </c>
      <c r="L28" s="57">
        <v>36721.684210526313</v>
      </c>
      <c r="M28" s="55">
        <v>60</v>
      </c>
      <c r="N28" s="58">
        <f t="shared" si="0"/>
        <v>2.0860698755435603E-2</v>
      </c>
      <c r="O28" s="58">
        <f t="shared" si="1"/>
        <v>0.15534562902983959</v>
      </c>
      <c r="P28" s="85">
        <f t="shared" si="2"/>
        <v>1.275468622656887</v>
      </c>
      <c r="Q28" s="85">
        <f t="shared" si="2"/>
        <v>1.3151597880199131</v>
      </c>
    </row>
    <row r="29" spans="1:17">
      <c r="A29" s="55">
        <v>25</v>
      </c>
      <c r="B29" s="55">
        <v>1300</v>
      </c>
      <c r="C29" s="57">
        <v>1298.1521578947368</v>
      </c>
      <c r="D29" s="57">
        <v>918.9473684210526</v>
      </c>
      <c r="E29" s="57">
        <v>1186.578947368421</v>
      </c>
      <c r="F29" s="58">
        <v>2.36</v>
      </c>
      <c r="G29" s="58">
        <v>25.994736842105262</v>
      </c>
      <c r="H29" s="58">
        <v>19.783157894736842</v>
      </c>
      <c r="I29" s="58">
        <v>20.522105263157897</v>
      </c>
      <c r="J29" s="58">
        <v>0.89563157894736845</v>
      </c>
      <c r="K29" s="58">
        <v>0.73626315789473684</v>
      </c>
      <c r="L29" s="57">
        <v>39850.73684210526</v>
      </c>
      <c r="M29" s="55">
        <v>60</v>
      </c>
      <c r="N29" s="58">
        <f t="shared" si="0"/>
        <v>1.8787424401459488E-2</v>
      </c>
      <c r="O29" s="58">
        <f t="shared" si="1"/>
        <v>0.13990635192576215</v>
      </c>
      <c r="P29" s="85">
        <f t="shared" si="2"/>
        <v>1.2777444060669769</v>
      </c>
      <c r="Q29" s="85">
        <f t="shared" si="2"/>
        <v>1.313644473659499</v>
      </c>
    </row>
    <row r="30" spans="1:17">
      <c r="A30" s="55">
        <v>26</v>
      </c>
      <c r="B30" s="55">
        <v>1200</v>
      </c>
      <c r="C30" s="57">
        <v>1198.3506315789473</v>
      </c>
      <c r="D30" s="57">
        <v>848.31578947368416</v>
      </c>
      <c r="E30" s="57">
        <v>1079.0526315789473</v>
      </c>
      <c r="F30" s="58">
        <v>1.4778947368421052</v>
      </c>
      <c r="G30" s="58">
        <v>23.572105263157894</v>
      </c>
      <c r="H30" s="58">
        <v>18.170000000000002</v>
      </c>
      <c r="I30" s="58">
        <v>19.405263157894737</v>
      </c>
      <c r="J30" s="58">
        <v>0.75905263157894742</v>
      </c>
      <c r="K30" s="58">
        <v>0.62773684210526326</v>
      </c>
      <c r="L30" s="57">
        <v>40552.315789473687</v>
      </c>
      <c r="M30" s="55">
        <v>60</v>
      </c>
      <c r="N30" s="58">
        <f t="shared" si="0"/>
        <v>1.7255460588793924E-2</v>
      </c>
      <c r="O30" s="58">
        <f t="shared" si="1"/>
        <v>0.12849811076761433</v>
      </c>
      <c r="P30" s="84">
        <f t="shared" si="2"/>
        <v>1.2794535131298799</v>
      </c>
      <c r="Q30" s="84">
        <f t="shared" si="2"/>
        <v>1.3132569918520152</v>
      </c>
    </row>
    <row r="31" spans="1:17">
      <c r="A31" s="55">
        <v>27</v>
      </c>
      <c r="B31" s="55">
        <v>1100</v>
      </c>
      <c r="C31" s="57">
        <v>1098.5445263157897</v>
      </c>
      <c r="D31" s="57">
        <v>777.68421052631584</v>
      </c>
      <c r="E31" s="57">
        <v>972.26315789473688</v>
      </c>
      <c r="F31" s="58">
        <v>1.1499999999999999</v>
      </c>
      <c r="G31" s="58">
        <v>21.98</v>
      </c>
      <c r="H31" s="58">
        <v>16.809999999999999</v>
      </c>
      <c r="I31" s="58">
        <v>18.248947368421053</v>
      </c>
      <c r="J31" s="58">
        <v>0.64368421052631586</v>
      </c>
      <c r="K31" s="58">
        <v>0.53026315789473688</v>
      </c>
      <c r="L31" s="57">
        <v>39865.26315789474</v>
      </c>
      <c r="M31" s="55">
        <v>60</v>
      </c>
      <c r="N31" s="58">
        <f t="shared" si="0"/>
        <v>1.5963912630579297E-2</v>
      </c>
      <c r="O31" s="58">
        <f t="shared" si="1"/>
        <v>0.11888020044048413</v>
      </c>
      <c r="P31" s="84">
        <f t="shared" si="2"/>
        <v>1.2811648858160489</v>
      </c>
      <c r="Q31" s="84">
        <f t="shared" si="2"/>
        <v>1.3132168925964549</v>
      </c>
    </row>
    <row r="32" spans="1:17">
      <c r="A32" s="55">
        <v>28</v>
      </c>
      <c r="B32" s="55">
        <v>1000</v>
      </c>
      <c r="C32" s="57">
        <v>998.55689473684197</v>
      </c>
      <c r="D32" s="57">
        <v>706.57894736842104</v>
      </c>
      <c r="E32" s="57">
        <v>866.21052631578948</v>
      </c>
      <c r="F32" s="58">
        <v>1.2936842105263158</v>
      </c>
      <c r="G32" s="58">
        <v>20.662105263157894</v>
      </c>
      <c r="H32" s="58">
        <v>15.680526315789477</v>
      </c>
      <c r="I32" s="58">
        <v>17.068421052631578</v>
      </c>
      <c r="J32" s="58">
        <v>0.54589473684210521</v>
      </c>
      <c r="K32" s="58">
        <v>0.44368421052631579</v>
      </c>
      <c r="L32" s="57">
        <v>38575.473684210527</v>
      </c>
      <c r="M32" s="55">
        <v>60</v>
      </c>
      <c r="N32" s="58">
        <f t="shared" si="0"/>
        <v>1.4891288049182789E-2</v>
      </c>
      <c r="O32" s="58">
        <f t="shared" si="1"/>
        <v>0.11089257057902077</v>
      </c>
      <c r="P32" s="84">
        <f t="shared" si="2"/>
        <v>1.2740449576219135</v>
      </c>
      <c r="Q32" s="84">
        <f t="shared" si="2"/>
        <v>1.3055598575189717</v>
      </c>
    </row>
    <row r="33" spans="1:17">
      <c r="A33" s="55">
        <v>29</v>
      </c>
      <c r="B33" s="55">
        <v>900</v>
      </c>
      <c r="C33" s="57">
        <v>898.58547368421057</v>
      </c>
      <c r="D33" s="57">
        <v>635.89473684210532</v>
      </c>
      <c r="E33" s="57">
        <v>761.68421052631584</v>
      </c>
      <c r="F33" s="58">
        <v>1.3168421052631578</v>
      </c>
      <c r="G33" s="58">
        <v>19.345263157894735</v>
      </c>
      <c r="H33" s="58">
        <v>14.54</v>
      </c>
      <c r="I33" s="58">
        <v>15.81</v>
      </c>
      <c r="J33" s="58">
        <v>0.45542105263157895</v>
      </c>
      <c r="K33" s="58">
        <v>0.36468421052631583</v>
      </c>
      <c r="L33" s="57">
        <v>37075.368421052633</v>
      </c>
      <c r="M33" s="55">
        <v>60</v>
      </c>
      <c r="N33" s="58">
        <f t="shared" si="0"/>
        <v>1.3808167141500474E-2</v>
      </c>
      <c r="O33" s="58">
        <f t="shared" si="1"/>
        <v>0.10282677658564184</v>
      </c>
      <c r="P33" s="84">
        <f t="shared" si="2"/>
        <v>1.2685823193080197</v>
      </c>
      <c r="Q33" s="84">
        <f t="shared" si="2"/>
        <v>1.3012206572769955</v>
      </c>
    </row>
    <row r="34" spans="1:17">
      <c r="A34" s="55">
        <v>30</v>
      </c>
      <c r="B34" s="55">
        <v>800</v>
      </c>
      <c r="C34" s="57">
        <v>798.35078947368436</v>
      </c>
      <c r="D34" s="57">
        <v>565</v>
      </c>
      <c r="E34" s="57">
        <v>659.36842105263156</v>
      </c>
      <c r="F34" s="58">
        <v>1.1673684210526314</v>
      </c>
      <c r="G34" s="58">
        <v>18.008421052631579</v>
      </c>
      <c r="H34" s="58">
        <v>13.398947368421052</v>
      </c>
      <c r="I34" s="58">
        <v>14.477368421052631</v>
      </c>
      <c r="J34" s="58">
        <v>0.37263157894736831</v>
      </c>
      <c r="K34" s="58">
        <v>0.29315789473684217</v>
      </c>
      <c r="L34" s="57">
        <v>35389.947368421053</v>
      </c>
      <c r="M34" s="55">
        <v>60</v>
      </c>
      <c r="N34" s="58">
        <f t="shared" si="0"/>
        <v>1.2724546408756934E-2</v>
      </c>
      <c r="O34" s="58">
        <f t="shared" si="1"/>
        <v>9.4757260490743123E-2</v>
      </c>
      <c r="P34" s="84">
        <f t="shared" si="2"/>
        <v>1.2615823235923023</v>
      </c>
      <c r="Q34" s="84">
        <f t="shared" si="2"/>
        <v>1.2938443670150985</v>
      </c>
    </row>
    <row r="35" spans="1:17">
      <c r="A35" s="55">
        <v>31</v>
      </c>
      <c r="B35" s="55">
        <v>700</v>
      </c>
      <c r="C35" s="57">
        <v>698.08747368421052</v>
      </c>
      <c r="D35" s="57">
        <v>494</v>
      </c>
      <c r="E35" s="57">
        <v>559.89473684210532</v>
      </c>
      <c r="F35" s="58">
        <v>0.88473684210526304</v>
      </c>
      <c r="G35" s="58">
        <v>16.577368421052629</v>
      </c>
      <c r="H35" s="58">
        <v>12.217368421052631</v>
      </c>
      <c r="I35" s="58">
        <v>13.052105263157895</v>
      </c>
      <c r="J35" s="58">
        <v>0.2970526315789474</v>
      </c>
      <c r="K35" s="58">
        <v>0.2290526315789474</v>
      </c>
      <c r="L35" s="57">
        <v>33628.26315789474</v>
      </c>
      <c r="M35" s="55">
        <v>60</v>
      </c>
      <c r="N35" s="58">
        <f t="shared" si="0"/>
        <v>1.1602439146298795E-2</v>
      </c>
      <c r="O35" s="58">
        <f t="shared" si="1"/>
        <v>8.6401142578820825E-2</v>
      </c>
      <c r="P35" s="84">
        <f t="shared" si="2"/>
        <v>1.2517187846529165</v>
      </c>
      <c r="Q35" s="84">
        <f t="shared" si="2"/>
        <v>1.2841546178813812</v>
      </c>
    </row>
    <row r="36" spans="1:17">
      <c r="A36" s="55">
        <v>32</v>
      </c>
      <c r="B36" s="55">
        <v>600</v>
      </c>
      <c r="C36" s="57">
        <v>598.50642105263159</v>
      </c>
      <c r="D36" s="57">
        <v>423.42105263157896</v>
      </c>
      <c r="E36" s="57">
        <v>464.15789473684208</v>
      </c>
      <c r="F36" s="58">
        <v>0.49526315789473685</v>
      </c>
      <c r="G36" s="58">
        <v>15.057368421052628</v>
      </c>
      <c r="H36" s="58">
        <v>11.007368421052629</v>
      </c>
      <c r="I36" s="58">
        <v>11.557894736842108</v>
      </c>
      <c r="J36" s="58">
        <v>0.22926315789473689</v>
      </c>
      <c r="K36" s="58">
        <v>0.1723157894736842</v>
      </c>
      <c r="L36" s="57">
        <v>31758.21052631579</v>
      </c>
      <c r="M36" s="55">
        <v>60</v>
      </c>
      <c r="N36" s="58">
        <f t="shared" si="0"/>
        <v>1.045334133053431E-2</v>
      </c>
      <c r="O36" s="58">
        <f t="shared" si="1"/>
        <v>7.7844031184829965E-2</v>
      </c>
      <c r="P36" s="84">
        <f t="shared" si="2"/>
        <v>1.2413793103448278</v>
      </c>
      <c r="Q36" s="84">
        <f t="shared" si="2"/>
        <v>1.274425846632931</v>
      </c>
    </row>
    <row r="37" spans="1:17">
      <c r="A37" s="55">
        <v>33</v>
      </c>
      <c r="B37" s="55">
        <v>500</v>
      </c>
      <c r="C37" s="57">
        <v>498.45636842105267</v>
      </c>
      <c r="D37" s="57">
        <v>352.5263157894737</v>
      </c>
      <c r="E37" s="57">
        <v>372.94736842105266</v>
      </c>
      <c r="F37" s="58">
        <v>0.14894736842105261</v>
      </c>
      <c r="G37" s="58">
        <v>13.402631578947368</v>
      </c>
      <c r="H37" s="58">
        <v>9.7415789473684207</v>
      </c>
      <c r="I37" s="58">
        <v>9.9857894736842123</v>
      </c>
      <c r="J37" s="58">
        <v>0.16889473684210526</v>
      </c>
      <c r="K37" s="58">
        <v>0.12299999999999998</v>
      </c>
      <c r="L37" s="57">
        <v>29727.78947368421</v>
      </c>
      <c r="M37" s="55">
        <v>60</v>
      </c>
      <c r="N37" s="58">
        <f t="shared" si="0"/>
        <v>9.2512620582796013E-3</v>
      </c>
      <c r="O37" s="58">
        <f t="shared" si="1"/>
        <v>6.8892377029741714E-2</v>
      </c>
      <c r="P37" s="84">
        <f t="shared" si="2"/>
        <v>1.2266819571865444</v>
      </c>
      <c r="Q37" s="84">
        <f t="shared" si="2"/>
        <v>1.255102040816326</v>
      </c>
    </row>
    <row r="38" spans="1:17">
      <c r="A38" s="55">
        <v>34</v>
      </c>
      <c r="B38" s="55">
        <v>400</v>
      </c>
      <c r="C38" s="57">
        <v>398.27163157894739</v>
      </c>
      <c r="D38" s="57">
        <v>281.57894736842104</v>
      </c>
      <c r="E38" s="57">
        <v>286.4736842105263</v>
      </c>
      <c r="F38" s="58">
        <v>9.736842105263159E-2</v>
      </c>
      <c r="G38" s="58">
        <v>11.589473684210528</v>
      </c>
      <c r="H38" s="58">
        <v>8.4026315789473678</v>
      </c>
      <c r="I38" s="58">
        <v>8.3415789473684221</v>
      </c>
      <c r="J38" s="58">
        <v>0.11621052631578949</v>
      </c>
      <c r="K38" s="58">
        <v>8.1526315789473683E-2</v>
      </c>
      <c r="L38" s="57">
        <v>27526.947368421053</v>
      </c>
      <c r="M38" s="55">
        <v>60</v>
      </c>
      <c r="N38" s="58">
        <f t="shared" si="0"/>
        <v>7.9797071025141195E-3</v>
      </c>
      <c r="O38" s="58">
        <f t="shared" si="1"/>
        <v>5.9423350763403021E-2</v>
      </c>
      <c r="P38" s="84">
        <f t="shared" si="2"/>
        <v>1.209200438116101</v>
      </c>
      <c r="Q38" s="84">
        <f t="shared" si="2"/>
        <v>1.2362330407023141</v>
      </c>
    </row>
    <row r="39" spans="1:17">
      <c r="A39" s="55">
        <v>35</v>
      </c>
      <c r="B39" s="55">
        <v>300</v>
      </c>
      <c r="C39" s="57">
        <v>298.61994736842098</v>
      </c>
      <c r="D39" s="57">
        <v>211</v>
      </c>
      <c r="E39" s="57">
        <v>205</v>
      </c>
      <c r="F39" s="58">
        <v>0.24052631578947364</v>
      </c>
      <c r="G39" s="58">
        <v>9.6215789473684215</v>
      </c>
      <c r="H39" s="58">
        <v>6.9710526315789449</v>
      </c>
      <c r="I39" s="58">
        <v>6.6163157894736839</v>
      </c>
      <c r="J39" s="58">
        <v>7.2105263157894742E-2</v>
      </c>
      <c r="K39" s="58">
        <v>4.8157894736842122E-2</v>
      </c>
      <c r="L39" s="57">
        <v>24834.263157894737</v>
      </c>
      <c r="M39" s="55">
        <v>60</v>
      </c>
      <c r="N39" s="58">
        <f t="shared" si="0"/>
        <v>6.6201829359724077E-3</v>
      </c>
      <c r="O39" s="58">
        <f t="shared" si="1"/>
        <v>4.9299234629581759E-2</v>
      </c>
      <c r="P39" s="84">
        <f t="shared" si="2"/>
        <v>1.1871750433275561</v>
      </c>
      <c r="Q39" s="84">
        <f t="shared" si="2"/>
        <v>1.2183754993342213</v>
      </c>
    </row>
    <row r="40" spans="1:17">
      <c r="A40" s="55">
        <v>36</v>
      </c>
      <c r="B40" s="55">
        <v>200</v>
      </c>
      <c r="C40" s="57">
        <v>198.44247368421054</v>
      </c>
      <c r="D40" s="57">
        <v>140.05263157894737</v>
      </c>
      <c r="E40" s="57">
        <v>127.21052631578948</v>
      </c>
      <c r="F40" s="58">
        <v>0.38473684210526321</v>
      </c>
      <c r="G40" s="58">
        <v>7.6305263157894716</v>
      </c>
      <c r="H40" s="58">
        <v>5.5163157894736843</v>
      </c>
      <c r="I40" s="58">
        <v>4.9015789473684226</v>
      </c>
      <c r="J40" s="58">
        <v>3.7631578947368433E-2</v>
      </c>
      <c r="K40" s="58">
        <v>2.3315789473684217E-2</v>
      </c>
      <c r="L40" s="57">
        <v>20916.736842105263</v>
      </c>
      <c r="M40" s="55">
        <v>60</v>
      </c>
      <c r="N40" s="58">
        <f t="shared" si="0"/>
        <v>5.2386664667366419E-3</v>
      </c>
      <c r="O40" s="58">
        <f t="shared" si="1"/>
        <v>3.9011346028889886E-2</v>
      </c>
      <c r="P40" s="84">
        <f t="shared" si="2"/>
        <v>1.1569579288025891</v>
      </c>
      <c r="Q40" s="84">
        <f t="shared" si="2"/>
        <v>1.2038043478260869</v>
      </c>
    </row>
    <row r="41" spans="1:17">
      <c r="A41" s="55">
        <v>37</v>
      </c>
      <c r="B41" s="80">
        <v>1999</v>
      </c>
      <c r="C41" s="81">
        <v>1859.9609473684216</v>
      </c>
      <c r="D41" s="57">
        <v>1318.8421052631579</v>
      </c>
      <c r="E41" s="57">
        <v>1723.6315789473683</v>
      </c>
      <c r="F41" s="58">
        <v>0.18789473684210525</v>
      </c>
      <c r="G41" s="58">
        <v>762.9910526315789</v>
      </c>
      <c r="H41" s="58">
        <v>252.50894736842105</v>
      </c>
      <c r="I41" s="58">
        <v>28.110526315789475</v>
      </c>
      <c r="J41" s="58">
        <v>16.415473684210525</v>
      </c>
      <c r="K41" s="58">
        <v>2.1397894736842105</v>
      </c>
      <c r="L41" s="57">
        <v>1964.7368421052631</v>
      </c>
      <c r="M41" s="55">
        <v>60</v>
      </c>
      <c r="N41" s="58">
        <f t="shared" si="0"/>
        <v>0.23979957015044734</v>
      </c>
      <c r="O41" s="58">
        <f t="shared" si="1"/>
        <v>1.7857414798437568</v>
      </c>
    </row>
    <row r="42" spans="1:17">
      <c r="A42" s="55">
        <v>38</v>
      </c>
      <c r="B42" s="80">
        <v>1999</v>
      </c>
      <c r="C42" s="81">
        <v>1944.7966842105263</v>
      </c>
      <c r="D42" s="57">
        <v>1381.0526315789473</v>
      </c>
      <c r="E42" s="57">
        <v>1746.1578947368421</v>
      </c>
      <c r="F42" s="58">
        <v>0.19210526315789478</v>
      </c>
      <c r="G42" s="58">
        <v>2506.7436842105267</v>
      </c>
      <c r="H42" s="58">
        <v>829.43157894736851</v>
      </c>
      <c r="I42" s="58">
        <v>29.068421052631582</v>
      </c>
      <c r="J42" s="58">
        <v>56.438631578947373</v>
      </c>
      <c r="K42" s="58">
        <v>2.5744736842105267</v>
      </c>
      <c r="L42" s="57">
        <v>616.89473684210532</v>
      </c>
      <c r="M42" s="55">
        <v>60</v>
      </c>
      <c r="N42" s="58">
        <f t="shared" si="0"/>
        <v>0.78768431049132814</v>
      </c>
      <c r="O42" s="58">
        <f t="shared" si="1"/>
        <v>5.8657342270630819</v>
      </c>
    </row>
    <row r="43" spans="1:17">
      <c r="A43" s="55">
        <v>39</v>
      </c>
      <c r="B43" s="80">
        <v>1999</v>
      </c>
      <c r="C43" s="81">
        <v>1979.2383157894735</v>
      </c>
      <c r="D43" s="57">
        <v>1410.8947368421052</v>
      </c>
      <c r="E43" s="57">
        <v>1752.2631578947369</v>
      </c>
      <c r="F43" s="58">
        <v>0.11526315789473686</v>
      </c>
      <c r="G43" s="58">
        <v>5389.4531578947372</v>
      </c>
      <c r="H43" s="58">
        <v>1689.1452631578945</v>
      </c>
      <c r="I43" s="58">
        <v>29.307894736842105</v>
      </c>
      <c r="J43" s="58">
        <v>117.57478947368422</v>
      </c>
      <c r="K43" s="58">
        <v>2.7524736842105262</v>
      </c>
      <c r="L43" s="57">
        <v>302.15789473684208</v>
      </c>
      <c r="M43" s="55">
        <v>60</v>
      </c>
      <c r="N43" s="58">
        <f t="shared" si="0"/>
        <v>1.6041265557055029</v>
      </c>
      <c r="O43" s="58">
        <f t="shared" si="1"/>
        <v>11.945623287168639</v>
      </c>
    </row>
    <row r="44" spans="1:17">
      <c r="A44" s="55">
        <v>40</v>
      </c>
      <c r="B44" s="80">
        <v>1999</v>
      </c>
      <c r="C44" s="81">
        <v>1991.2100909090914</v>
      </c>
      <c r="D44" s="57">
        <v>1428.909090909091</v>
      </c>
      <c r="E44" s="57">
        <v>1752.8181818181818</v>
      </c>
      <c r="F44" s="58">
        <v>8.4545454545454535E-2</v>
      </c>
      <c r="G44" s="58">
        <v>9706.2809090909104</v>
      </c>
      <c r="H44" s="58">
        <v>2975.332727272727</v>
      </c>
      <c r="I44" s="58">
        <v>29.34</v>
      </c>
      <c r="J44" s="58">
        <v>209.56545454545451</v>
      </c>
      <c r="K44" s="58">
        <v>2.7744545454545455</v>
      </c>
      <c r="L44" s="57">
        <v>163.45454545454547</v>
      </c>
      <c r="M44" s="55">
        <v>60</v>
      </c>
      <c r="N44" s="58">
        <f>H44/1053</f>
        <v>2.825577138910472</v>
      </c>
      <c r="O44" s="58">
        <f t="shared" si="1"/>
        <v>21.041531885503517</v>
      </c>
    </row>
    <row r="46" spans="1:17" ht="13.5" thickBot="1"/>
    <row r="47" spans="1:17">
      <c r="C47" s="414" t="s">
        <v>92</v>
      </c>
      <c r="D47" s="415"/>
      <c r="E47" s="415"/>
      <c r="F47" s="415"/>
      <c r="G47" s="415"/>
      <c r="H47" s="415"/>
      <c r="I47" s="415"/>
      <c r="J47" s="415"/>
      <c r="K47" s="415"/>
      <c r="L47" s="415"/>
      <c r="M47" s="416"/>
    </row>
    <row r="48" spans="1:17">
      <c r="C48" s="59" t="s">
        <v>93</v>
      </c>
      <c r="D48" s="417" t="s">
        <v>94</v>
      </c>
      <c r="E48" s="418"/>
      <c r="F48" s="418"/>
      <c r="G48" s="60" t="s">
        <v>95</v>
      </c>
      <c r="H48" s="61"/>
      <c r="I48" s="62" t="s">
        <v>93</v>
      </c>
      <c r="J48" s="417" t="s">
        <v>94</v>
      </c>
      <c r="K48" s="418"/>
      <c r="L48" s="418"/>
      <c r="M48" s="63" t="s">
        <v>95</v>
      </c>
    </row>
    <row r="49" spans="3:13">
      <c r="C49" s="64" t="s">
        <v>77</v>
      </c>
      <c r="D49" s="399" t="s">
        <v>96</v>
      </c>
      <c r="E49" s="400"/>
      <c r="F49" s="401"/>
      <c r="G49" s="65"/>
      <c r="H49" s="66"/>
      <c r="I49" s="67" t="s">
        <v>84</v>
      </c>
      <c r="J49" s="399" t="s">
        <v>97</v>
      </c>
      <c r="K49" s="400"/>
      <c r="L49" s="401"/>
      <c r="M49" s="68" t="s">
        <v>98</v>
      </c>
    </row>
    <row r="50" spans="3:13">
      <c r="C50" s="69" t="s">
        <v>78</v>
      </c>
      <c r="D50" s="411" t="s">
        <v>99</v>
      </c>
      <c r="E50" s="412"/>
      <c r="F50" s="413"/>
      <c r="G50" s="70" t="s">
        <v>100</v>
      </c>
      <c r="H50" s="71"/>
      <c r="I50" s="72" t="s">
        <v>85</v>
      </c>
      <c r="J50" s="399" t="s">
        <v>101</v>
      </c>
      <c r="K50" s="400"/>
      <c r="L50" s="401"/>
      <c r="M50" s="68" t="s">
        <v>98</v>
      </c>
    </row>
    <row r="51" spans="3:13">
      <c r="C51" s="69" t="s">
        <v>79</v>
      </c>
      <c r="D51" s="399" t="s">
        <v>102</v>
      </c>
      <c r="E51" s="400"/>
      <c r="F51" s="401"/>
      <c r="G51" s="70" t="s">
        <v>100</v>
      </c>
      <c r="H51" s="71"/>
      <c r="I51" s="55" t="s">
        <v>86</v>
      </c>
      <c r="J51" s="402" t="s">
        <v>103</v>
      </c>
      <c r="K51" s="403"/>
      <c r="L51" s="404"/>
      <c r="M51" s="73" t="s">
        <v>104</v>
      </c>
    </row>
    <row r="52" spans="3:13">
      <c r="C52" s="69" t="s">
        <v>80</v>
      </c>
      <c r="D52" s="399" t="s">
        <v>105</v>
      </c>
      <c r="E52" s="400"/>
      <c r="F52" s="401"/>
      <c r="G52" s="70" t="s">
        <v>100</v>
      </c>
      <c r="H52" s="71"/>
      <c r="I52" s="55" t="s">
        <v>87</v>
      </c>
      <c r="J52" s="402" t="s">
        <v>106</v>
      </c>
      <c r="K52" s="403"/>
      <c r="L52" s="404"/>
      <c r="M52" s="73" t="s">
        <v>107</v>
      </c>
    </row>
    <row r="53" spans="3:13">
      <c r="C53" s="69" t="s">
        <v>81</v>
      </c>
      <c r="D53" s="399" t="s">
        <v>108</v>
      </c>
      <c r="E53" s="400"/>
      <c r="F53" s="401"/>
      <c r="G53" s="70" t="s">
        <v>100</v>
      </c>
      <c r="H53" s="71"/>
      <c r="I53" s="55" t="s">
        <v>88</v>
      </c>
      <c r="J53" s="402" t="s">
        <v>109</v>
      </c>
      <c r="K53" s="403"/>
      <c r="L53" s="404"/>
      <c r="M53" s="73" t="s">
        <v>110</v>
      </c>
    </row>
    <row r="54" spans="3:13">
      <c r="C54" s="69" t="s">
        <v>111</v>
      </c>
      <c r="D54" s="399" t="s">
        <v>112</v>
      </c>
      <c r="E54" s="400"/>
      <c r="F54" s="401"/>
      <c r="G54" s="70" t="s">
        <v>110</v>
      </c>
      <c r="H54" s="71"/>
      <c r="I54" s="55" t="s">
        <v>89</v>
      </c>
      <c r="J54" s="402" t="s">
        <v>113</v>
      </c>
      <c r="K54" s="403"/>
      <c r="L54" s="404"/>
      <c r="M54" s="73" t="s">
        <v>114</v>
      </c>
    </row>
    <row r="55" spans="3:13" ht="15">
      <c r="C55" s="69" t="s">
        <v>82</v>
      </c>
      <c r="D55" s="399" t="s">
        <v>115</v>
      </c>
      <c r="E55" s="400"/>
      <c r="F55" s="401"/>
      <c r="G55" s="70" t="s">
        <v>31</v>
      </c>
      <c r="H55" s="71"/>
      <c r="I55" s="74" t="s">
        <v>116</v>
      </c>
      <c r="J55" s="402" t="s">
        <v>117</v>
      </c>
      <c r="K55" s="403"/>
      <c r="L55" s="404"/>
      <c r="M55" s="73" t="s">
        <v>118</v>
      </c>
    </row>
    <row r="56" spans="3:13" ht="13.5" thickBot="1">
      <c r="C56" s="75" t="s">
        <v>83</v>
      </c>
      <c r="D56" s="405" t="s">
        <v>101</v>
      </c>
      <c r="E56" s="406"/>
      <c r="F56" s="407"/>
      <c r="G56" s="76" t="s">
        <v>98</v>
      </c>
      <c r="H56" s="77"/>
      <c r="I56" s="78" t="s">
        <v>91</v>
      </c>
      <c r="J56" s="408" t="s">
        <v>119</v>
      </c>
      <c r="K56" s="409"/>
      <c r="L56" s="410"/>
      <c r="M56" s="79" t="s">
        <v>118</v>
      </c>
    </row>
  </sheetData>
  <mergeCells count="19">
    <mergeCell ref="D50:F50"/>
    <mergeCell ref="J50:L50"/>
    <mergeCell ref="C47:M47"/>
    <mergeCell ref="D48:F48"/>
    <mergeCell ref="J48:L48"/>
    <mergeCell ref="D49:F49"/>
    <mergeCell ref="J49:L49"/>
    <mergeCell ref="D51:F51"/>
    <mergeCell ref="J51:L51"/>
    <mergeCell ref="D52:F52"/>
    <mergeCell ref="J52:L52"/>
    <mergeCell ref="D53:F53"/>
    <mergeCell ref="J53:L53"/>
    <mergeCell ref="D54:F54"/>
    <mergeCell ref="J54:L54"/>
    <mergeCell ref="D55:F55"/>
    <mergeCell ref="J55:L55"/>
    <mergeCell ref="D56:F56"/>
    <mergeCell ref="J56:L56"/>
  </mergeCells>
  <pageMargins left="0.78740157499999996" right="0.78740157499999996" top="0.984251969" bottom="0.984251969" header="0.49212598499999999" footer="0.49212598499999999"/>
  <pageSetup paperSize="9" scale="74" orientation="landscape" horizontalDpi="4294967294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149ED-D07C-4188-B1F2-412710805F1D}">
  <sheetPr>
    <pageSetUpPr fitToPage="1"/>
  </sheetPr>
  <dimension ref="A1:AS721"/>
  <sheetViews>
    <sheetView showGridLines="0" topLeftCell="A4" zoomScale="109" zoomScaleNormal="109" workbookViewId="0">
      <selection activeCell="A20" sqref="A20"/>
    </sheetView>
  </sheetViews>
  <sheetFormatPr defaultColWidth="2.7109375" defaultRowHeight="9.9499999999999993" customHeight="1"/>
  <cols>
    <col min="1" max="5" width="8.7109375" customWidth="1"/>
    <col min="6" max="7" width="0.85546875" customWidth="1"/>
    <col min="8" max="11" width="2.28515625" customWidth="1"/>
    <col min="12" max="13" width="0.85546875" customWidth="1"/>
    <col min="14" max="14" width="2.28515625" customWidth="1"/>
    <col min="15" max="17" width="0.85546875" customWidth="1"/>
    <col min="18" max="18" width="2.28515625" customWidth="1"/>
    <col min="19" max="19" width="0.85546875" customWidth="1"/>
    <col min="20" max="20" width="1.5703125" customWidth="1"/>
    <col min="21" max="21" width="0.85546875" customWidth="1"/>
    <col min="26" max="26" width="3.28515625" bestFit="1" customWidth="1"/>
    <col min="30" max="30" width="0.85546875" customWidth="1"/>
    <col min="31" max="31" width="1.5703125" customWidth="1"/>
    <col min="32" max="32" width="0.85546875" customWidth="1"/>
    <col min="33" max="33" width="2.28515625" customWidth="1"/>
    <col min="34" max="36" width="0.85546875" customWidth="1"/>
    <col min="37" max="37" width="2.28515625" customWidth="1"/>
    <col min="38" max="39" width="0.85546875" customWidth="1"/>
    <col min="40" max="43" width="2.28515625" customWidth="1"/>
    <col min="44" max="45" width="0.85546875" customWidth="1"/>
    <col min="46" max="46" width="2.28515625" customWidth="1"/>
    <col min="47" max="64" width="8.7109375" customWidth="1"/>
  </cols>
  <sheetData>
    <row r="1" spans="1:22" ht="18" customHeight="1">
      <c r="A1" s="195" t="s">
        <v>373</v>
      </c>
      <c r="B1" s="195"/>
      <c r="C1" s="195"/>
      <c r="D1" s="195"/>
      <c r="E1" s="195"/>
    </row>
    <row r="2" spans="1:22" ht="18" customHeight="1">
      <c r="A2" s="207" t="s">
        <v>397</v>
      </c>
    </row>
    <row r="3" spans="1:22" ht="18" customHeight="1">
      <c r="A3" t="s">
        <v>409</v>
      </c>
    </row>
    <row r="4" spans="1:22" ht="18" customHeight="1">
      <c r="A4" t="s">
        <v>411</v>
      </c>
    </row>
    <row r="5" spans="1:22" ht="18" customHeight="1">
      <c r="A5" s="209" t="s">
        <v>410</v>
      </c>
    </row>
    <row r="6" spans="1:22" ht="18" customHeight="1">
      <c r="A6" s="209" t="s">
        <v>403</v>
      </c>
    </row>
    <row r="7" spans="1:22" ht="18" customHeight="1">
      <c r="A7" t="s">
        <v>391</v>
      </c>
      <c r="V7" s="209" t="s">
        <v>404</v>
      </c>
    </row>
    <row r="8" spans="1:22" ht="18" customHeight="1">
      <c r="A8" t="s">
        <v>390</v>
      </c>
    </row>
    <row r="9" spans="1:22" ht="18" customHeight="1">
      <c r="A9" t="s">
        <v>393</v>
      </c>
    </row>
    <row r="10" spans="1:22" ht="18" customHeight="1">
      <c r="A10" t="s">
        <v>389</v>
      </c>
    </row>
    <row r="11" spans="1:22" ht="18" customHeight="1">
      <c r="A11" t="s">
        <v>408</v>
      </c>
    </row>
    <row r="12" spans="1:22" ht="18" customHeight="1">
      <c r="A12" t="s">
        <v>394</v>
      </c>
      <c r="R12" s="209" t="s">
        <v>404</v>
      </c>
    </row>
    <row r="13" spans="1:22" ht="18" customHeight="1">
      <c r="A13" t="s">
        <v>392</v>
      </c>
    </row>
    <row r="14" spans="1:22" ht="18" customHeight="1">
      <c r="A14" t="s">
        <v>395</v>
      </c>
    </row>
    <row r="15" spans="1:22" ht="18" customHeight="1">
      <c r="A15" t="s">
        <v>396</v>
      </c>
    </row>
    <row r="16" spans="1:22" ht="18" customHeight="1">
      <c r="A16" t="s">
        <v>398</v>
      </c>
    </row>
    <row r="17" spans="1:45" ht="18" customHeight="1">
      <c r="A17" t="s">
        <v>399</v>
      </c>
    </row>
    <row r="18" spans="1:45" ht="18" customHeight="1">
      <c r="A18" s="97" t="s">
        <v>400</v>
      </c>
    </row>
    <row r="19" spans="1:45" ht="18" customHeight="1">
      <c r="A19" s="97" t="s">
        <v>401</v>
      </c>
    </row>
    <row r="20" spans="1:45" ht="18" customHeight="1">
      <c r="A20" s="97" t="s">
        <v>501</v>
      </c>
    </row>
    <row r="21" spans="1:45" ht="18" customHeight="1">
      <c r="A21" s="97" t="s">
        <v>402</v>
      </c>
    </row>
    <row r="22" spans="1:45" ht="18" customHeight="1">
      <c r="A22" s="208" t="s">
        <v>412</v>
      </c>
    </row>
    <row r="23" spans="1:45" ht="18" customHeight="1">
      <c r="A23" s="208" t="s">
        <v>407</v>
      </c>
    </row>
    <row r="24" spans="1:45" ht="18" customHeight="1">
      <c r="A24" s="208" t="s">
        <v>414</v>
      </c>
    </row>
    <row r="25" spans="1:45" ht="9.9499999999999993" customHeight="1">
      <c r="D25" s="203"/>
      <c r="E25" s="203"/>
    </row>
    <row r="26" spans="1:45" ht="3.95" customHeight="1">
      <c r="B26" s="193"/>
      <c r="C26" s="193"/>
      <c r="D26" s="193"/>
      <c r="E26" s="193"/>
      <c r="F26" s="193"/>
      <c r="G26" s="193"/>
      <c r="H26" s="193"/>
      <c r="I26" s="193"/>
      <c r="J26" s="193"/>
      <c r="K26" s="193"/>
      <c r="L26" s="193"/>
      <c r="M26" s="193"/>
      <c r="N26" s="193"/>
      <c r="O26" s="193"/>
      <c r="P26" s="193"/>
      <c r="Q26" s="193"/>
      <c r="R26" s="193"/>
      <c r="S26" s="193"/>
      <c r="T26" s="193"/>
      <c r="U26" s="193"/>
      <c r="V26" s="193"/>
      <c r="W26" s="193"/>
      <c r="X26" s="193"/>
      <c r="Y26" s="193"/>
      <c r="Z26" s="193"/>
      <c r="AA26" s="193"/>
      <c r="AB26" s="193"/>
      <c r="AC26" s="193"/>
      <c r="AD26" s="193"/>
      <c r="AE26" s="193"/>
      <c r="AF26" s="193"/>
      <c r="AG26" s="193"/>
      <c r="AH26" s="193"/>
      <c r="AI26" s="193"/>
      <c r="AJ26" s="193"/>
      <c r="AK26" s="193"/>
      <c r="AL26" s="193"/>
      <c r="AM26" s="193"/>
      <c r="AN26" s="193"/>
      <c r="AO26" s="193"/>
      <c r="AP26" s="193"/>
      <c r="AQ26" s="193"/>
      <c r="AR26" s="193"/>
      <c r="AS26" s="193"/>
    </row>
    <row r="27" spans="1:45" ht="3.95" customHeight="1">
      <c r="F27" s="193"/>
      <c r="AS27" s="193"/>
    </row>
    <row r="28" spans="1:45" ht="9.9499999999999993" customHeight="1">
      <c r="F28" s="193"/>
      <c r="H28" s="192"/>
      <c r="I28" s="192"/>
      <c r="J28" s="192"/>
      <c r="K28" s="192"/>
      <c r="L28" s="192"/>
      <c r="M28" s="192"/>
      <c r="N28" s="192"/>
      <c r="O28" s="192"/>
      <c r="P28" s="192"/>
      <c r="Q28" s="192"/>
      <c r="R28" s="192"/>
      <c r="S28" s="192"/>
      <c r="T28" s="192"/>
      <c r="U28" s="192"/>
      <c r="V28" s="192"/>
      <c r="W28" s="192"/>
      <c r="X28" s="192"/>
      <c r="Y28" s="192"/>
      <c r="Z28" s="192"/>
      <c r="AA28" s="192"/>
      <c r="AB28" s="192"/>
      <c r="AC28" s="192"/>
      <c r="AD28" s="192"/>
      <c r="AE28" s="192"/>
      <c r="AF28" s="192"/>
      <c r="AG28" s="192"/>
      <c r="AH28" s="192"/>
      <c r="AI28" s="192"/>
      <c r="AJ28" s="192"/>
      <c r="AK28" s="192"/>
      <c r="AL28" s="192"/>
      <c r="AM28" s="192"/>
      <c r="AN28" s="192"/>
      <c r="AO28" s="192"/>
      <c r="AP28" s="192"/>
      <c r="AQ28" s="192"/>
      <c r="AS28" s="193"/>
    </row>
    <row r="29" spans="1:45" ht="9.9499999999999993" customHeight="1">
      <c r="F29" s="193"/>
      <c r="H29" s="192"/>
      <c r="AQ29" s="192"/>
      <c r="AS29" s="193"/>
    </row>
    <row r="30" spans="1:45" ht="9.9499999999999993" customHeight="1">
      <c r="F30" s="193"/>
      <c r="H30" s="192"/>
      <c r="AQ30" s="192"/>
      <c r="AS30" s="193"/>
    </row>
    <row r="31" spans="1:45" ht="9.9499999999999993" customHeight="1">
      <c r="F31" s="193"/>
      <c r="H31" s="192"/>
      <c r="X31" s="419" t="s">
        <v>197</v>
      </c>
      <c r="Y31" s="419"/>
      <c r="AQ31" s="192"/>
      <c r="AS31" s="193"/>
    </row>
    <row r="32" spans="1:45" ht="9.9499999999999993" customHeight="1">
      <c r="F32" s="193"/>
      <c r="H32" s="192"/>
      <c r="X32" s="419"/>
      <c r="Y32" s="419"/>
      <c r="AQ32" s="192"/>
      <c r="AS32" s="193"/>
    </row>
    <row r="33" spans="5:45" ht="3.95" customHeight="1">
      <c r="F33" s="193"/>
      <c r="H33" s="192"/>
      <c r="L33" s="193"/>
      <c r="M33" s="193"/>
      <c r="N33" s="193"/>
      <c r="O33" s="193"/>
      <c r="P33" s="193"/>
      <c r="Q33" s="193"/>
      <c r="R33" s="193"/>
      <c r="S33" s="193"/>
      <c r="T33" s="193"/>
      <c r="U33" s="193"/>
      <c r="V33" s="193"/>
      <c r="W33" s="193"/>
      <c r="X33" s="193"/>
      <c r="Y33" s="193"/>
      <c r="Z33" s="193"/>
      <c r="AA33" s="193"/>
      <c r="AB33" s="193"/>
      <c r="AC33" s="193"/>
      <c r="AD33" s="193"/>
      <c r="AE33" s="193"/>
      <c r="AF33" s="193"/>
      <c r="AG33" s="193"/>
      <c r="AH33" s="193"/>
      <c r="AI33" s="193"/>
      <c r="AJ33" s="193"/>
      <c r="AK33" s="193"/>
      <c r="AL33" s="193"/>
      <c r="AM33" s="193"/>
      <c r="AQ33" s="192"/>
      <c r="AS33" s="193"/>
    </row>
    <row r="34" spans="5:45" ht="3.95" customHeight="1">
      <c r="F34" s="193"/>
      <c r="H34" s="192"/>
      <c r="L34" s="193"/>
      <c r="AM34" s="193"/>
      <c r="AQ34" s="192"/>
      <c r="AS34" s="193"/>
    </row>
    <row r="35" spans="5:45" ht="9.9499999999999993" customHeight="1">
      <c r="F35" s="193"/>
      <c r="H35" s="192"/>
      <c r="L35" s="193"/>
      <c r="N35" s="192"/>
      <c r="O35" s="192"/>
      <c r="P35" s="192"/>
      <c r="Q35" s="192"/>
      <c r="R35" s="192"/>
      <c r="S35" s="192"/>
      <c r="T35" s="192"/>
      <c r="U35" s="192"/>
      <c r="V35" s="192"/>
      <c r="W35" s="192"/>
      <c r="X35" s="192"/>
      <c r="Y35" s="192"/>
      <c r="Z35" s="192"/>
      <c r="AA35" s="192"/>
      <c r="AB35" s="192"/>
      <c r="AC35" s="192"/>
      <c r="AD35" s="192"/>
      <c r="AE35" s="192"/>
      <c r="AF35" s="192"/>
      <c r="AG35" s="192"/>
      <c r="AH35" s="192"/>
      <c r="AI35" s="192"/>
      <c r="AJ35" s="192"/>
      <c r="AK35" s="192"/>
      <c r="AM35" s="193"/>
      <c r="AQ35" s="192"/>
      <c r="AS35" s="193"/>
    </row>
    <row r="36" spans="5:45" ht="3.95" customHeight="1">
      <c r="F36" s="193"/>
      <c r="H36" s="192"/>
      <c r="L36" s="193"/>
      <c r="N36" s="192"/>
      <c r="AK36" s="192"/>
      <c r="AM36" s="193"/>
      <c r="AQ36" s="192"/>
      <c r="AS36" s="193"/>
    </row>
    <row r="37" spans="5:45" ht="3.95" customHeight="1">
      <c r="F37" s="193"/>
      <c r="H37" s="192"/>
      <c r="L37" s="193"/>
      <c r="N37" s="192"/>
      <c r="P37" s="193"/>
      <c r="Q37" s="193"/>
      <c r="R37" s="193"/>
      <c r="S37" s="193"/>
      <c r="T37" s="193"/>
      <c r="U37" s="193"/>
      <c r="V37" s="193"/>
      <c r="W37" s="193"/>
      <c r="X37" s="193"/>
      <c r="Y37" s="193"/>
      <c r="Z37" s="193"/>
      <c r="AA37" s="193"/>
      <c r="AB37" s="193"/>
      <c r="AC37" s="193"/>
      <c r="AD37" s="193"/>
      <c r="AE37" s="193"/>
      <c r="AF37" s="193"/>
      <c r="AG37" s="193"/>
      <c r="AH37" s="193"/>
      <c r="AI37" s="193"/>
      <c r="AK37" s="192"/>
      <c r="AM37" s="193"/>
      <c r="AQ37" s="192"/>
      <c r="AS37" s="193"/>
    </row>
    <row r="38" spans="5:45" ht="3.95" customHeight="1">
      <c r="F38" s="193"/>
      <c r="H38" s="192"/>
      <c r="L38" s="193"/>
      <c r="N38" s="192"/>
      <c r="P38" s="193"/>
      <c r="AI38" s="193"/>
      <c r="AK38" s="192"/>
      <c r="AM38" s="193"/>
      <c r="AQ38" s="192"/>
      <c r="AS38" s="193"/>
    </row>
    <row r="39" spans="5:45" ht="9.9499999999999993" customHeight="1">
      <c r="F39" s="193"/>
      <c r="H39" s="192"/>
      <c r="L39" s="193"/>
      <c r="N39" s="192"/>
      <c r="P39" s="193"/>
      <c r="R39" s="192"/>
      <c r="S39" s="192"/>
      <c r="T39" s="192"/>
      <c r="U39" s="192"/>
      <c r="V39" s="192"/>
      <c r="W39" s="192"/>
      <c r="X39" s="192"/>
      <c r="Y39" s="192"/>
      <c r="Z39" s="192"/>
      <c r="AA39" s="192"/>
      <c r="AB39" s="192"/>
      <c r="AC39" s="192"/>
      <c r="AD39" s="192"/>
      <c r="AE39" s="192"/>
      <c r="AF39" s="192"/>
      <c r="AG39" s="192"/>
      <c r="AI39" s="193"/>
      <c r="AK39" s="192"/>
      <c r="AM39" s="193"/>
      <c r="AQ39" s="192"/>
      <c r="AS39" s="193"/>
    </row>
    <row r="40" spans="5:45" ht="3.95" customHeight="1">
      <c r="F40" s="193"/>
      <c r="H40" s="192"/>
      <c r="L40" s="193"/>
      <c r="N40" s="192"/>
      <c r="P40" s="193"/>
      <c r="R40" s="192"/>
      <c r="AG40" s="192"/>
      <c r="AI40" s="193"/>
      <c r="AK40" s="192"/>
      <c r="AM40" s="193"/>
      <c r="AQ40" s="192"/>
      <c r="AS40" s="193"/>
    </row>
    <row r="41" spans="5:45" ht="8.1" customHeight="1">
      <c r="F41" s="193"/>
      <c r="H41" s="192"/>
      <c r="L41" s="193"/>
      <c r="N41" s="192"/>
      <c r="P41" s="193"/>
      <c r="R41" s="192"/>
      <c r="T41" s="196"/>
      <c r="U41" s="196"/>
      <c r="V41" s="196"/>
      <c r="W41" s="196"/>
      <c r="X41" s="196"/>
      <c r="Y41" s="196"/>
      <c r="Z41" s="196"/>
      <c r="AA41" s="196"/>
      <c r="AB41" s="196"/>
      <c r="AC41" s="196"/>
      <c r="AD41" s="196"/>
      <c r="AE41" s="196"/>
      <c r="AG41" s="192"/>
      <c r="AI41" s="193"/>
      <c r="AK41" s="192"/>
      <c r="AM41" s="193"/>
      <c r="AQ41" s="192"/>
      <c r="AS41" s="193"/>
    </row>
    <row r="42" spans="5:45" ht="3.95" customHeight="1">
      <c r="F42" s="193"/>
      <c r="H42" s="192"/>
      <c r="L42" s="193"/>
      <c r="N42" s="192"/>
      <c r="P42" s="193"/>
      <c r="R42" s="192"/>
      <c r="T42" s="196"/>
      <c r="AE42" s="196"/>
      <c r="AG42" s="192"/>
      <c r="AI42" s="193"/>
      <c r="AK42" s="192"/>
      <c r="AM42" s="193"/>
      <c r="AQ42" s="192"/>
      <c r="AS42" s="193"/>
    </row>
    <row r="43" spans="5:45" ht="11.1" customHeight="1">
      <c r="F43" s="193"/>
      <c r="H43" s="192"/>
      <c r="L43" s="193"/>
      <c r="N43" s="192"/>
      <c r="P43" s="193"/>
      <c r="R43" s="192"/>
      <c r="T43" s="196"/>
      <c r="V43" s="194"/>
      <c r="W43" s="194"/>
      <c r="X43" s="194"/>
      <c r="Y43" s="194"/>
      <c r="Z43" s="421">
        <v>2</v>
      </c>
      <c r="AA43" s="421"/>
      <c r="AB43" s="194"/>
      <c r="AC43" s="194"/>
      <c r="AE43" s="196"/>
      <c r="AG43" s="192"/>
      <c r="AI43" s="193"/>
      <c r="AK43" s="192"/>
      <c r="AM43" s="193"/>
      <c r="AQ43" s="192"/>
      <c r="AS43" s="193"/>
    </row>
    <row r="44" spans="5:45" ht="3.95" customHeight="1">
      <c r="E44" s="203"/>
      <c r="F44" s="204"/>
      <c r="G44" s="203"/>
      <c r="H44" s="205"/>
      <c r="I44" s="203"/>
      <c r="J44" s="203"/>
      <c r="K44" s="203"/>
      <c r="L44" s="204"/>
      <c r="M44" s="203"/>
      <c r="N44" s="205"/>
      <c r="O44" s="203"/>
      <c r="P44" s="204"/>
      <c r="Q44" s="203"/>
      <c r="R44" s="205"/>
      <c r="S44" s="203"/>
      <c r="T44" s="206"/>
      <c r="U44" s="203"/>
      <c r="AE44" s="196"/>
      <c r="AG44" s="192"/>
      <c r="AI44" s="193"/>
      <c r="AK44" s="192"/>
      <c r="AM44" s="193"/>
      <c r="AQ44" s="192"/>
      <c r="AS44" s="193"/>
    </row>
    <row r="45" spans="5:45" ht="9.9499999999999993" customHeight="1">
      <c r="F45" s="193"/>
      <c r="H45" s="192"/>
      <c r="L45" s="193"/>
      <c r="N45" s="192"/>
      <c r="P45" s="193"/>
      <c r="R45" s="192"/>
      <c r="T45" s="196"/>
      <c r="V45" s="422"/>
      <c r="W45" s="422"/>
      <c r="X45" s="422"/>
      <c r="Y45" s="422"/>
      <c r="Z45" s="422"/>
      <c r="AA45" s="422"/>
      <c r="AB45" s="422"/>
      <c r="AC45" s="422"/>
      <c r="AE45" s="196"/>
      <c r="AG45" s="192"/>
      <c r="AI45" s="193"/>
      <c r="AK45" s="192"/>
      <c r="AM45" s="193"/>
      <c r="AQ45" s="192"/>
      <c r="AS45" s="193"/>
    </row>
    <row r="46" spans="5:45" ht="9.9499999999999993" customHeight="1">
      <c r="F46" s="193"/>
      <c r="H46" s="192"/>
      <c r="L46" s="193"/>
      <c r="N46" s="192"/>
      <c r="P46" s="193"/>
      <c r="R46" s="192"/>
      <c r="T46" s="196"/>
      <c r="V46" s="422"/>
      <c r="W46" s="422"/>
      <c r="X46" s="422"/>
      <c r="Y46" s="422"/>
      <c r="Z46" s="422"/>
      <c r="AA46" s="422"/>
      <c r="AB46" s="422"/>
      <c r="AC46" s="422"/>
      <c r="AE46" s="196"/>
      <c r="AG46" s="192"/>
      <c r="AI46" s="193"/>
      <c r="AK46" s="192"/>
      <c r="AM46" s="193"/>
      <c r="AQ46" s="192"/>
      <c r="AS46" s="193"/>
    </row>
    <row r="47" spans="5:45" ht="9.9499999999999993" customHeight="1">
      <c r="F47" s="193"/>
      <c r="H47" s="192"/>
      <c r="L47" s="193"/>
      <c r="N47" s="192"/>
      <c r="P47" s="193"/>
      <c r="R47" s="192"/>
      <c r="T47" s="196"/>
      <c r="V47" s="422"/>
      <c r="W47" s="422"/>
      <c r="X47" s="422"/>
      <c r="Y47" s="422"/>
      <c r="Z47" s="422"/>
      <c r="AA47" s="422"/>
      <c r="AB47" s="422"/>
      <c r="AC47" s="422"/>
      <c r="AE47" s="196"/>
      <c r="AG47" s="192"/>
      <c r="AI47" s="193"/>
      <c r="AK47" s="192"/>
      <c r="AM47" s="193"/>
      <c r="AQ47" s="192"/>
      <c r="AS47" s="193"/>
    </row>
    <row r="48" spans="5:45" ht="9.9499999999999993" customHeight="1">
      <c r="F48" s="193"/>
      <c r="H48" s="192"/>
      <c r="L48" s="193"/>
      <c r="N48" s="192"/>
      <c r="P48" s="193"/>
      <c r="R48" s="192"/>
      <c r="T48" s="196"/>
      <c r="V48" s="422"/>
      <c r="W48" s="422"/>
      <c r="X48" s="422"/>
      <c r="Y48" s="422"/>
      <c r="Z48" s="422"/>
      <c r="AA48" s="422"/>
      <c r="AB48" s="422"/>
      <c r="AC48" s="422"/>
      <c r="AE48" s="196"/>
      <c r="AG48" s="192"/>
      <c r="AI48" s="193"/>
      <c r="AK48" s="192"/>
      <c r="AM48" s="193"/>
      <c r="AQ48" s="192"/>
      <c r="AS48" s="193"/>
    </row>
    <row r="49" spans="4:45" ht="9.9499999999999993" customHeight="1">
      <c r="F49" s="193"/>
      <c r="H49" s="192"/>
      <c r="L49" s="193"/>
      <c r="N49" s="192"/>
      <c r="P49" s="193"/>
      <c r="R49" s="192"/>
      <c r="T49" s="196"/>
      <c r="V49" s="422"/>
      <c r="W49" s="422"/>
      <c r="X49" s="422"/>
      <c r="Y49" s="422"/>
      <c r="Z49" s="422"/>
      <c r="AA49" s="422"/>
      <c r="AB49" s="422"/>
      <c r="AC49" s="422"/>
      <c r="AE49" s="196"/>
      <c r="AG49" s="192"/>
      <c r="AI49" s="193"/>
      <c r="AK49" s="192"/>
      <c r="AM49" s="193"/>
      <c r="AQ49" s="192"/>
      <c r="AS49" s="193"/>
    </row>
    <row r="50" spans="4:45" ht="9.9499999999999993" customHeight="1">
      <c r="F50" s="193"/>
      <c r="H50" s="192"/>
      <c r="L50" s="193"/>
      <c r="N50" s="192"/>
      <c r="P50" s="193"/>
      <c r="R50" s="192"/>
      <c r="T50" s="196"/>
      <c r="V50" s="422"/>
      <c r="W50" s="422"/>
      <c r="X50" s="422"/>
      <c r="Y50" s="422"/>
      <c r="Z50" s="422"/>
      <c r="AA50" s="422"/>
      <c r="AB50" s="422"/>
      <c r="AC50" s="422"/>
      <c r="AE50" s="196"/>
      <c r="AG50" s="192"/>
      <c r="AI50" s="193"/>
      <c r="AK50" s="192"/>
      <c r="AM50" s="193"/>
      <c r="AQ50" s="192"/>
      <c r="AS50" s="193"/>
    </row>
    <row r="51" spans="4:45" ht="9.9499999999999993" customHeight="1">
      <c r="F51" s="193"/>
      <c r="H51" s="192"/>
      <c r="L51" s="193"/>
      <c r="N51" s="192"/>
      <c r="P51" s="193"/>
      <c r="R51" s="192"/>
      <c r="T51" s="196"/>
      <c r="V51" s="422"/>
      <c r="W51" s="422"/>
      <c r="X51" s="422"/>
      <c r="Y51" s="422"/>
      <c r="Z51" s="422"/>
      <c r="AA51" s="422"/>
      <c r="AB51" s="422"/>
      <c r="AC51" s="422"/>
      <c r="AE51" s="196"/>
      <c r="AG51" s="192"/>
      <c r="AI51" s="193"/>
      <c r="AK51" s="192"/>
      <c r="AM51" s="193"/>
      <c r="AQ51" s="192"/>
      <c r="AS51" s="193"/>
    </row>
    <row r="52" spans="4:45" ht="9.9499999999999993" customHeight="1">
      <c r="F52" s="193"/>
      <c r="H52" s="192"/>
      <c r="L52" s="193"/>
      <c r="N52" s="192"/>
      <c r="P52" s="193"/>
      <c r="R52" s="192"/>
      <c r="T52" s="196"/>
      <c r="V52" s="422"/>
      <c r="W52" s="422"/>
      <c r="X52" s="422"/>
      <c r="Y52" s="422"/>
      <c r="Z52" s="422"/>
      <c r="AA52" s="422"/>
      <c r="AB52" s="422"/>
      <c r="AC52" s="422"/>
      <c r="AE52" s="196"/>
      <c r="AG52" s="192"/>
      <c r="AI52" s="193"/>
      <c r="AK52" s="192"/>
      <c r="AM52" s="193"/>
      <c r="AQ52" s="192"/>
      <c r="AS52" s="193"/>
    </row>
    <row r="53" spans="4:45" ht="9.9499999999999993" customHeight="1">
      <c r="D53" s="425" t="s">
        <v>385</v>
      </c>
      <c r="E53" s="425" t="s">
        <v>384</v>
      </c>
      <c r="F53" s="193"/>
      <c r="H53" s="427" t="s">
        <v>406</v>
      </c>
      <c r="L53" s="193"/>
      <c r="N53" s="427">
        <v>2</v>
      </c>
      <c r="P53" s="193"/>
      <c r="R53" s="427">
        <v>1</v>
      </c>
      <c r="T53" s="196"/>
      <c r="V53" s="422"/>
      <c r="W53" s="422"/>
      <c r="X53" s="422"/>
      <c r="Y53" s="422"/>
      <c r="Z53" s="422"/>
      <c r="AA53" s="422"/>
      <c r="AB53" s="422"/>
      <c r="AC53" s="422"/>
      <c r="AE53" s="196"/>
      <c r="AG53" s="192"/>
      <c r="AI53" s="193"/>
      <c r="AK53" s="192"/>
      <c r="AM53" s="193"/>
      <c r="AN53" s="420" t="s">
        <v>379</v>
      </c>
      <c r="AO53" s="420"/>
      <c r="AQ53" s="192"/>
      <c r="AS53" s="193"/>
    </row>
    <row r="54" spans="4:45" ht="9.9499999999999993" customHeight="1">
      <c r="D54" s="425"/>
      <c r="E54" s="425"/>
      <c r="F54" s="193"/>
      <c r="H54" s="427"/>
      <c r="I54" s="423" t="s">
        <v>378</v>
      </c>
      <c r="J54" s="423"/>
      <c r="K54" s="423"/>
      <c r="L54" s="193"/>
      <c r="N54" s="427"/>
      <c r="P54" s="193"/>
      <c r="R54" s="427"/>
      <c r="T54" s="196"/>
      <c r="V54" s="422"/>
      <c r="W54" s="422"/>
      <c r="X54" s="422"/>
      <c r="Y54" s="422"/>
      <c r="Z54" s="422"/>
      <c r="AA54" s="422"/>
      <c r="AB54" s="422"/>
      <c r="AC54" s="422"/>
      <c r="AE54" s="196"/>
      <c r="AG54" s="192"/>
      <c r="AI54" s="193"/>
      <c r="AK54" s="192"/>
      <c r="AM54" s="193"/>
      <c r="AN54" s="420"/>
      <c r="AO54" s="420"/>
      <c r="AQ54" s="192"/>
      <c r="AS54" s="193"/>
    </row>
    <row r="55" spans="4:45" ht="9.9499999999999993" customHeight="1">
      <c r="D55" s="425"/>
      <c r="E55" s="425"/>
      <c r="F55" s="193"/>
      <c r="H55" s="427"/>
      <c r="L55" s="193"/>
      <c r="N55" s="427"/>
      <c r="P55" s="193"/>
      <c r="R55" s="427"/>
      <c r="T55" s="196"/>
      <c r="V55" s="422"/>
      <c r="W55" s="422"/>
      <c r="X55" s="422"/>
      <c r="Y55" s="422"/>
      <c r="Z55" s="422"/>
      <c r="AA55" s="422"/>
      <c r="AB55" s="422"/>
      <c r="AC55" s="422"/>
      <c r="AE55" s="196"/>
      <c r="AG55" s="192"/>
      <c r="AI55" s="193"/>
      <c r="AK55" s="192"/>
      <c r="AM55" s="193"/>
      <c r="AQ55" s="192"/>
      <c r="AS55" s="193"/>
    </row>
    <row r="56" spans="4:45" ht="9.9499999999999993" customHeight="1">
      <c r="F56" s="193"/>
      <c r="H56" s="192"/>
      <c r="L56" s="193"/>
      <c r="N56" s="192"/>
      <c r="P56" s="193"/>
      <c r="R56" s="192"/>
      <c r="T56" s="196"/>
      <c r="V56" s="422"/>
      <c r="W56" s="422"/>
      <c r="X56" s="422"/>
      <c r="Y56" s="422"/>
      <c r="Z56" s="422"/>
      <c r="AA56" s="422"/>
      <c r="AB56" s="422"/>
      <c r="AC56" s="422"/>
      <c r="AE56" s="196"/>
      <c r="AG56" s="192"/>
      <c r="AI56" s="193"/>
      <c r="AK56" s="192"/>
      <c r="AM56" s="193"/>
      <c r="AQ56" s="192"/>
      <c r="AS56" s="193"/>
    </row>
    <row r="57" spans="4:45" ht="9.9499999999999993" customHeight="1">
      <c r="F57" s="193"/>
      <c r="H57" s="192"/>
      <c r="L57" s="193"/>
      <c r="N57" s="192"/>
      <c r="P57" s="193"/>
      <c r="R57" s="192"/>
      <c r="T57" s="196"/>
      <c r="V57" s="422"/>
      <c r="W57" s="422"/>
      <c r="X57" s="422"/>
      <c r="Y57" s="422"/>
      <c r="Z57" s="422"/>
      <c r="AA57" s="422"/>
      <c r="AB57" s="422"/>
      <c r="AC57" s="422"/>
      <c r="AE57" s="196"/>
      <c r="AG57" s="192"/>
      <c r="AI57" s="193"/>
      <c r="AK57" s="192"/>
      <c r="AM57" s="193"/>
      <c r="AQ57" s="192"/>
      <c r="AS57" s="193"/>
    </row>
    <row r="58" spans="4:45" ht="9.9499999999999993" customHeight="1">
      <c r="F58" s="193"/>
      <c r="H58" s="192"/>
      <c r="L58" s="193"/>
      <c r="N58" s="192"/>
      <c r="P58" s="193"/>
      <c r="R58" s="192"/>
      <c r="T58" s="196"/>
      <c r="V58" s="422"/>
      <c r="W58" s="422"/>
      <c r="X58" s="422"/>
      <c r="Y58" s="422"/>
      <c r="Z58" s="422"/>
      <c r="AA58" s="422"/>
      <c r="AB58" s="422"/>
      <c r="AC58" s="422"/>
      <c r="AE58" s="196"/>
      <c r="AG58" s="192"/>
      <c r="AI58" s="193"/>
      <c r="AK58" s="192"/>
      <c r="AM58" s="193"/>
      <c r="AQ58" s="192"/>
      <c r="AS58" s="193"/>
    </row>
    <row r="59" spans="4:45" ht="9.9499999999999993" customHeight="1">
      <c r="F59" s="193"/>
      <c r="H59" s="192"/>
      <c r="L59" s="193"/>
      <c r="N59" s="192"/>
      <c r="P59" s="193"/>
      <c r="R59" s="192"/>
      <c r="T59" s="196"/>
      <c r="V59" s="422"/>
      <c r="W59" s="422"/>
      <c r="X59" s="422"/>
      <c r="Y59" s="422"/>
      <c r="Z59" s="422"/>
      <c r="AA59" s="422"/>
      <c r="AB59" s="422"/>
      <c r="AC59" s="422"/>
      <c r="AE59" s="196"/>
      <c r="AG59" s="192"/>
      <c r="AI59" s="193"/>
      <c r="AK59" s="192"/>
      <c r="AM59" s="193"/>
      <c r="AQ59" s="192"/>
      <c r="AS59" s="193"/>
    </row>
    <row r="60" spans="4:45" ht="9.9499999999999993" customHeight="1">
      <c r="F60" s="193"/>
      <c r="H60" s="192"/>
      <c r="L60" s="193"/>
      <c r="N60" s="192"/>
      <c r="P60" s="193"/>
      <c r="R60" s="192"/>
      <c r="T60" s="196"/>
      <c r="V60" s="422"/>
      <c r="W60" s="422"/>
      <c r="X60" s="422"/>
      <c r="Y60" s="422"/>
      <c r="Z60" s="422"/>
      <c r="AA60" s="422"/>
      <c r="AB60" s="422"/>
      <c r="AC60" s="422"/>
      <c r="AE60" s="196"/>
      <c r="AG60" s="192"/>
      <c r="AI60" s="193"/>
      <c r="AK60" s="192"/>
      <c r="AM60" s="193"/>
      <c r="AQ60" s="192"/>
      <c r="AS60" s="193"/>
    </row>
    <row r="61" spans="4:45" ht="9.9499999999999993" customHeight="1">
      <c r="F61" s="193"/>
      <c r="H61" s="192"/>
      <c r="L61" s="193"/>
      <c r="N61" s="192"/>
      <c r="P61" s="193"/>
      <c r="R61" s="192"/>
      <c r="T61" s="196"/>
      <c r="V61" s="422"/>
      <c r="W61" s="422"/>
      <c r="X61" s="422"/>
      <c r="Y61" s="422"/>
      <c r="Z61" s="422"/>
      <c r="AA61" s="422"/>
      <c r="AB61" s="422"/>
      <c r="AC61" s="422"/>
      <c r="AE61" s="196"/>
      <c r="AG61" s="192"/>
      <c r="AI61" s="193"/>
      <c r="AK61" s="192"/>
      <c r="AM61" s="193"/>
      <c r="AQ61" s="192"/>
      <c r="AS61" s="193"/>
    </row>
    <row r="62" spans="4:45" ht="9.9499999999999993" customHeight="1">
      <c r="F62" s="193"/>
      <c r="H62" s="192"/>
      <c r="L62" s="193"/>
      <c r="N62" s="192"/>
      <c r="P62" s="193"/>
      <c r="R62" s="192"/>
      <c r="T62" s="196"/>
      <c r="V62" s="422"/>
      <c r="W62" s="422"/>
      <c r="X62" s="422"/>
      <c r="Y62" s="422"/>
      <c r="Z62" s="422"/>
      <c r="AA62" s="422"/>
      <c r="AB62" s="422"/>
      <c r="AC62" s="422"/>
      <c r="AE62" s="196"/>
      <c r="AG62" s="192"/>
      <c r="AI62" s="193"/>
      <c r="AK62" s="192"/>
      <c r="AM62" s="193"/>
      <c r="AQ62" s="192"/>
      <c r="AS62" s="193"/>
    </row>
    <row r="63" spans="4:45" ht="9.9499999999999993" customHeight="1">
      <c r="E63" s="203"/>
      <c r="F63" s="204"/>
      <c r="G63" s="203"/>
      <c r="H63" s="205"/>
      <c r="I63" s="203"/>
      <c r="J63" s="203"/>
      <c r="K63" s="203"/>
      <c r="L63" s="204"/>
      <c r="M63" s="203"/>
      <c r="N63" s="205"/>
      <c r="O63" s="203"/>
      <c r="P63" s="204"/>
      <c r="Q63" s="203"/>
      <c r="R63" s="205"/>
      <c r="S63" s="203"/>
      <c r="T63" s="206"/>
      <c r="U63" s="203"/>
      <c r="V63" s="422"/>
      <c r="W63" s="422"/>
      <c r="X63" s="422"/>
      <c r="Y63" s="422"/>
      <c r="Z63" s="422"/>
      <c r="AA63" s="422"/>
      <c r="AB63" s="422"/>
      <c r="AC63" s="422"/>
      <c r="AE63" s="196"/>
      <c r="AG63" s="192"/>
      <c r="AI63" s="193"/>
      <c r="AK63" s="192"/>
      <c r="AM63" s="193"/>
      <c r="AQ63" s="192"/>
      <c r="AS63" s="193"/>
    </row>
    <row r="64" spans="4:45" ht="3.95" customHeight="1">
      <c r="F64" s="193"/>
      <c r="H64" s="192"/>
      <c r="L64" s="193"/>
      <c r="N64" s="192"/>
      <c r="P64" s="193"/>
      <c r="R64" s="192"/>
      <c r="T64" s="196"/>
      <c r="AE64" s="196"/>
      <c r="AG64" s="192"/>
      <c r="AI64" s="193"/>
      <c r="AK64" s="192"/>
      <c r="AM64" s="193"/>
      <c r="AQ64" s="192"/>
      <c r="AS64" s="193"/>
    </row>
    <row r="65" spans="6:45" ht="11.1" customHeight="1">
      <c r="F65" s="193"/>
      <c r="H65" s="192"/>
      <c r="L65" s="193"/>
      <c r="N65" s="192"/>
      <c r="P65" s="193"/>
      <c r="R65" s="192"/>
      <c r="T65" s="196"/>
      <c r="U65" s="198"/>
      <c r="V65" s="194"/>
      <c r="W65" s="194"/>
      <c r="X65" s="194"/>
      <c r="Y65" s="194"/>
      <c r="Z65" s="421">
        <v>2</v>
      </c>
      <c r="AA65" s="421"/>
      <c r="AB65" s="194"/>
      <c r="AC65" s="197"/>
      <c r="AE65" s="196"/>
      <c r="AG65" s="192"/>
      <c r="AI65" s="193"/>
      <c r="AK65" s="192"/>
      <c r="AM65" s="193"/>
      <c r="AQ65" s="192"/>
      <c r="AS65" s="193"/>
    </row>
    <row r="66" spans="6:45" ht="3.95" customHeight="1">
      <c r="F66" s="193"/>
      <c r="H66" s="192"/>
      <c r="L66" s="193"/>
      <c r="N66" s="192"/>
      <c r="P66" s="193"/>
      <c r="R66" s="192"/>
      <c r="T66" s="196"/>
      <c r="U66" s="198"/>
      <c r="AC66" s="198"/>
      <c r="AE66" s="196"/>
      <c r="AG66" s="192"/>
      <c r="AI66" s="193"/>
      <c r="AK66" s="192"/>
      <c r="AM66" s="193"/>
      <c r="AQ66" s="192"/>
      <c r="AS66" s="193"/>
    </row>
    <row r="67" spans="6:45" ht="8.1" customHeight="1">
      <c r="F67" s="193"/>
      <c r="H67" s="192"/>
      <c r="L67" s="193"/>
      <c r="N67" s="192"/>
      <c r="P67" s="193"/>
      <c r="R67" s="192"/>
      <c r="T67" s="196"/>
      <c r="U67" s="199"/>
      <c r="V67" s="196"/>
      <c r="W67" s="196"/>
      <c r="X67" s="196"/>
      <c r="Y67" s="196"/>
      <c r="Z67" s="196"/>
      <c r="AA67" s="196"/>
      <c r="AB67" s="196"/>
      <c r="AC67" s="199"/>
      <c r="AD67" s="196"/>
      <c r="AE67" s="196"/>
      <c r="AG67" s="192"/>
      <c r="AI67" s="193"/>
      <c r="AK67" s="192"/>
      <c r="AM67" s="193"/>
      <c r="AQ67" s="192"/>
      <c r="AS67" s="193"/>
    </row>
    <row r="68" spans="6:45" ht="3.95" customHeight="1">
      <c r="F68" s="193"/>
      <c r="H68" s="192"/>
      <c r="L68" s="193"/>
      <c r="N68" s="192"/>
      <c r="P68" s="193"/>
      <c r="R68" s="192"/>
      <c r="U68" s="198"/>
      <c r="AC68" s="198"/>
      <c r="AG68" s="192"/>
      <c r="AI68" s="193"/>
      <c r="AK68" s="192"/>
      <c r="AM68" s="193"/>
      <c r="AQ68" s="192"/>
      <c r="AS68" s="193"/>
    </row>
    <row r="69" spans="6:45" ht="9.9499999999999993" customHeight="1">
      <c r="F69" s="193"/>
      <c r="H69" s="192"/>
      <c r="L69" s="193"/>
      <c r="N69" s="192"/>
      <c r="P69" s="193"/>
      <c r="R69" s="192"/>
      <c r="S69" s="192"/>
      <c r="T69" s="192"/>
      <c r="U69" s="200"/>
      <c r="V69" s="192"/>
      <c r="W69" s="192"/>
      <c r="X69" s="192"/>
      <c r="Y69" s="192"/>
      <c r="Z69" s="192"/>
      <c r="AA69" s="192"/>
      <c r="AB69" s="192"/>
      <c r="AC69" s="200"/>
      <c r="AD69" s="192"/>
      <c r="AE69" s="192"/>
      <c r="AF69" s="192"/>
      <c r="AG69" s="192"/>
      <c r="AI69" s="193"/>
      <c r="AK69" s="192"/>
      <c r="AM69" s="193"/>
      <c r="AQ69" s="192"/>
      <c r="AS69" s="193"/>
    </row>
    <row r="70" spans="6:45" ht="3.95" customHeight="1">
      <c r="F70" s="193"/>
      <c r="H70" s="192"/>
      <c r="L70" s="193"/>
      <c r="N70" s="192"/>
      <c r="P70" s="193"/>
      <c r="U70" s="198"/>
      <c r="AC70" s="198"/>
      <c r="AI70" s="193"/>
      <c r="AK70" s="192"/>
      <c r="AM70" s="193"/>
      <c r="AQ70" s="192"/>
      <c r="AS70" s="193"/>
    </row>
    <row r="71" spans="6:45" ht="3.95" customHeight="1">
      <c r="F71" s="193"/>
      <c r="H71" s="192"/>
      <c r="L71" s="193"/>
      <c r="N71" s="192"/>
      <c r="P71" s="193"/>
      <c r="Q71" s="193"/>
      <c r="R71" s="193"/>
      <c r="S71" s="193"/>
      <c r="T71" s="193"/>
      <c r="U71" s="201"/>
      <c r="V71" s="193"/>
      <c r="W71" s="193"/>
      <c r="X71" s="193"/>
      <c r="Y71" s="193"/>
      <c r="Z71" s="193"/>
      <c r="AA71" s="193"/>
      <c r="AB71" s="193"/>
      <c r="AC71" s="201"/>
      <c r="AD71" s="193"/>
      <c r="AE71" s="193"/>
      <c r="AF71" s="193"/>
      <c r="AG71" s="193"/>
      <c r="AH71" s="193"/>
      <c r="AI71" s="193"/>
      <c r="AK71" s="192"/>
      <c r="AM71" s="193"/>
      <c r="AQ71" s="192"/>
      <c r="AS71" s="193"/>
    </row>
    <row r="72" spans="6:45" ht="3.95" customHeight="1">
      <c r="F72" s="193"/>
      <c r="H72" s="192"/>
      <c r="L72" s="193"/>
      <c r="N72" s="192"/>
      <c r="U72" s="198"/>
      <c r="AC72" s="198"/>
      <c r="AK72" s="192"/>
      <c r="AM72" s="193"/>
      <c r="AQ72" s="192"/>
      <c r="AS72" s="193"/>
    </row>
    <row r="73" spans="6:45" ht="9.9499999999999993" customHeight="1">
      <c r="F73" s="193"/>
      <c r="H73" s="192"/>
      <c r="L73" s="193"/>
      <c r="N73" s="192"/>
      <c r="O73" s="192"/>
      <c r="P73" s="192"/>
      <c r="Q73" s="192"/>
      <c r="R73" s="192"/>
      <c r="S73" s="192"/>
      <c r="T73" s="192"/>
      <c r="U73" s="200"/>
      <c r="V73" s="192"/>
      <c r="W73" s="192"/>
      <c r="X73" s="192"/>
      <c r="Y73" s="192"/>
      <c r="Z73" s="192"/>
      <c r="AA73" s="192"/>
      <c r="AB73" s="192"/>
      <c r="AC73" s="200"/>
      <c r="AD73" s="192"/>
      <c r="AE73" s="192"/>
      <c r="AF73" s="192"/>
      <c r="AG73" s="192"/>
      <c r="AH73" s="192"/>
      <c r="AI73" s="192"/>
      <c r="AJ73" s="192"/>
      <c r="AK73" s="192"/>
      <c r="AM73" s="193"/>
      <c r="AQ73" s="192"/>
      <c r="AS73" s="193"/>
    </row>
    <row r="74" spans="6:45" ht="3.95" customHeight="1">
      <c r="F74" s="193"/>
      <c r="H74" s="192"/>
      <c r="L74" s="193"/>
      <c r="U74" s="198"/>
      <c r="AC74" s="198"/>
      <c r="AM74" s="193"/>
      <c r="AQ74" s="192"/>
      <c r="AS74" s="193"/>
    </row>
    <row r="75" spans="6:45" ht="3.95" customHeight="1">
      <c r="F75" s="193"/>
      <c r="H75" s="192"/>
      <c r="L75" s="193"/>
      <c r="M75" s="193"/>
      <c r="N75" s="193"/>
      <c r="O75" s="193"/>
      <c r="P75" s="193"/>
      <c r="Q75" s="193"/>
      <c r="R75" s="193"/>
      <c r="S75" s="193"/>
      <c r="T75" s="193"/>
      <c r="U75" s="201"/>
      <c r="V75" s="193"/>
      <c r="W75" s="193"/>
      <c r="X75" s="193"/>
      <c r="Y75" s="193"/>
      <c r="Z75" s="193"/>
      <c r="AA75" s="193"/>
      <c r="AB75" s="193"/>
      <c r="AC75" s="201"/>
      <c r="AD75" s="193"/>
      <c r="AE75" s="193"/>
      <c r="AF75" s="193"/>
      <c r="AG75" s="193"/>
      <c r="AH75" s="193"/>
      <c r="AI75" s="193"/>
      <c r="AJ75" s="193"/>
      <c r="AK75" s="193"/>
      <c r="AL75" s="193"/>
      <c r="AM75" s="193"/>
      <c r="AQ75" s="192"/>
      <c r="AS75" s="193"/>
    </row>
    <row r="76" spans="6:45" ht="9.9499999999999993" customHeight="1">
      <c r="F76" s="193"/>
      <c r="H76" s="192"/>
      <c r="U76" s="198"/>
      <c r="Y76" s="424" t="s">
        <v>378</v>
      </c>
      <c r="Z76" s="424"/>
      <c r="AC76" s="198"/>
      <c r="AQ76" s="192"/>
      <c r="AS76" s="193"/>
    </row>
    <row r="77" spans="6:45" ht="9.9499999999999993" customHeight="1">
      <c r="F77" s="193"/>
      <c r="H77" s="192"/>
      <c r="U77" s="198"/>
      <c r="Y77" s="424"/>
      <c r="Z77" s="424"/>
      <c r="AC77" s="198"/>
      <c r="AQ77" s="192"/>
      <c r="AS77" s="193"/>
    </row>
    <row r="78" spans="6:45" ht="9.9499999999999993" customHeight="1">
      <c r="F78" s="193"/>
      <c r="H78" s="192"/>
      <c r="U78" s="198"/>
      <c r="Y78" s="424"/>
      <c r="Z78" s="424"/>
      <c r="AC78" s="198"/>
      <c r="AQ78" s="192"/>
      <c r="AS78" s="193"/>
    </row>
    <row r="79" spans="6:45" ht="9.9499999999999993" customHeight="1">
      <c r="F79" s="193"/>
      <c r="H79" s="192"/>
      <c r="U79" s="198"/>
      <c r="Y79" s="424"/>
      <c r="Z79" s="424"/>
      <c r="AC79" s="198"/>
      <c r="AQ79" s="192"/>
      <c r="AS79" s="193"/>
    </row>
    <row r="80" spans="6:45" ht="9.9499999999999993" customHeight="1">
      <c r="F80" s="193"/>
      <c r="H80" s="192"/>
      <c r="I80" s="192"/>
      <c r="J80" s="192"/>
      <c r="K80" s="192"/>
      <c r="L80" s="192"/>
      <c r="M80" s="192"/>
      <c r="N80" s="192"/>
      <c r="O80" s="192"/>
      <c r="P80" s="192"/>
      <c r="Q80" s="192"/>
      <c r="R80" s="192"/>
      <c r="S80" s="192"/>
      <c r="T80" s="192"/>
      <c r="U80" s="200"/>
      <c r="V80" s="192"/>
      <c r="W80" s="192"/>
      <c r="X80" s="192"/>
      <c r="Y80" s="192"/>
      <c r="Z80" s="192"/>
      <c r="AA80" s="192"/>
      <c r="AB80" s="192"/>
      <c r="AC80" s="200"/>
      <c r="AD80" s="192"/>
      <c r="AE80" s="192"/>
      <c r="AF80" s="192"/>
      <c r="AG80" s="192"/>
      <c r="AH80" s="192"/>
      <c r="AI80" s="192"/>
      <c r="AJ80" s="192"/>
      <c r="AK80" s="192"/>
      <c r="AL80" s="192"/>
      <c r="AM80" s="192"/>
      <c r="AN80" s="192"/>
      <c r="AO80" s="192"/>
      <c r="AP80" s="192"/>
      <c r="AQ80" s="192"/>
      <c r="AS80" s="193"/>
    </row>
    <row r="81" spans="1:45" ht="3.95" customHeight="1">
      <c r="F81" s="193"/>
      <c r="U81" s="198"/>
      <c r="AC81" s="198"/>
      <c r="AS81" s="193"/>
    </row>
    <row r="82" spans="1:45" ht="3.95" customHeight="1">
      <c r="B82" s="193"/>
      <c r="C82" s="193"/>
      <c r="D82" s="204"/>
      <c r="E82" s="204"/>
      <c r="F82" s="193"/>
      <c r="G82" s="193"/>
      <c r="H82" s="193"/>
      <c r="I82" s="193"/>
      <c r="J82" s="193"/>
      <c r="K82" s="193"/>
      <c r="L82" s="193"/>
      <c r="M82" s="193"/>
      <c r="N82" s="193"/>
      <c r="O82" s="193"/>
      <c r="P82" s="193"/>
      <c r="Q82" s="193"/>
      <c r="R82" s="193"/>
      <c r="S82" s="193"/>
      <c r="T82" s="193"/>
      <c r="U82" s="201"/>
      <c r="V82" s="193"/>
      <c r="W82" s="193"/>
      <c r="X82" s="193"/>
      <c r="Y82" s="193"/>
      <c r="Z82" s="193"/>
      <c r="AA82" s="193"/>
      <c r="AB82" s="193"/>
      <c r="AC82" s="201"/>
      <c r="AD82" s="193"/>
      <c r="AE82" s="193"/>
      <c r="AF82" s="193"/>
      <c r="AG82" s="193"/>
      <c r="AH82" s="193"/>
      <c r="AI82" s="193"/>
      <c r="AJ82" s="193"/>
      <c r="AK82" s="193"/>
      <c r="AL82" s="193"/>
      <c r="AM82" s="193"/>
      <c r="AN82" s="193"/>
      <c r="AO82" s="193"/>
      <c r="AP82" s="193"/>
      <c r="AQ82" s="193"/>
      <c r="AR82" s="193"/>
      <c r="AS82" s="193"/>
    </row>
    <row r="83" spans="1:45" ht="9.9499999999999993" customHeight="1">
      <c r="E83" s="198"/>
      <c r="U83" s="198"/>
      <c r="AC83" s="198"/>
      <c r="AS83" s="198"/>
    </row>
    <row r="84" spans="1:45" ht="15.95" customHeight="1">
      <c r="A84" s="207" t="s">
        <v>413</v>
      </c>
      <c r="E84" s="198"/>
      <c r="U84" s="198"/>
      <c r="Y84" s="426" t="s">
        <v>386</v>
      </c>
      <c r="Z84" s="426"/>
      <c r="AC84" s="198"/>
      <c r="AS84" s="198"/>
    </row>
    <row r="85" spans="1:45" ht="15.95" customHeight="1">
      <c r="E85" s="202" t="s">
        <v>381</v>
      </c>
      <c r="R85" s="202" t="s">
        <v>382</v>
      </c>
      <c r="U85" s="198"/>
      <c r="AB85" s="202" t="s">
        <v>387</v>
      </c>
      <c r="AC85" s="198"/>
      <c r="AQ85" s="202" t="s">
        <v>383</v>
      </c>
      <c r="AR85" s="198"/>
      <c r="AS85" s="198"/>
    </row>
    <row r="86" spans="1:45" ht="15.95" customHeight="1">
      <c r="A86" s="210" t="s">
        <v>405</v>
      </c>
      <c r="E86" s="198"/>
      <c r="Y86" s="426" t="s">
        <v>388</v>
      </c>
      <c r="Z86" s="426"/>
      <c r="AS86" s="198"/>
    </row>
    <row r="87" spans="1:45" ht="15.95" customHeight="1"/>
    <row r="88" spans="1:45" ht="15.95" customHeight="1"/>
    <row r="89" spans="1:45" ht="15.95" customHeight="1"/>
    <row r="90" spans="1:45" ht="15.95" customHeight="1"/>
    <row r="91" spans="1:45" ht="15.95" customHeight="1"/>
    <row r="92" spans="1:45" ht="15.95" customHeight="1"/>
    <row r="93" spans="1:45" ht="15.95" customHeight="1"/>
    <row r="94" spans="1:45" ht="15.95" customHeight="1"/>
    <row r="95" spans="1:45" ht="15.95" customHeight="1"/>
    <row r="96" spans="1:45" ht="15.95" customHeight="1"/>
    <row r="97" ht="15.95" customHeight="1"/>
    <row r="98" ht="15.95" customHeight="1"/>
    <row r="99" ht="15.95" customHeight="1"/>
    <row r="100" ht="15.95" customHeight="1"/>
    <row r="101" ht="15.95" customHeight="1"/>
    <row r="102" ht="15.95" customHeight="1"/>
    <row r="103" ht="15.95" customHeight="1"/>
    <row r="104" ht="15.95" customHeight="1"/>
    <row r="105" ht="15.95" customHeight="1"/>
    <row r="106" ht="15.95" customHeight="1"/>
    <row r="107" ht="15.95" customHeight="1"/>
    <row r="108" ht="15.95" customHeight="1"/>
    <row r="109" ht="15.95" customHeight="1"/>
    <row r="110" ht="15.95" customHeight="1"/>
    <row r="111" ht="15.95" customHeight="1"/>
    <row r="112" ht="15.95" customHeight="1"/>
    <row r="113" ht="15.95" customHeight="1"/>
    <row r="114" ht="15.95" customHeight="1"/>
    <row r="115" ht="15.95" customHeight="1"/>
    <row r="116" ht="15.95" customHeight="1"/>
    <row r="117" ht="15.95" customHeight="1"/>
    <row r="118" ht="15.95" customHeight="1"/>
    <row r="119" ht="15.95" customHeight="1"/>
    <row r="120" ht="15.95" customHeight="1"/>
    <row r="121" ht="15.95" customHeight="1"/>
    <row r="122" ht="15.95" customHeight="1"/>
    <row r="123" ht="15.95" customHeight="1"/>
    <row r="124" ht="15.95" customHeight="1"/>
    <row r="125" ht="15.95" customHeight="1"/>
    <row r="126" ht="15.95" customHeight="1"/>
    <row r="127" ht="15.95" customHeight="1"/>
    <row r="128" ht="15.95" customHeight="1"/>
    <row r="129" ht="15.95" customHeight="1"/>
    <row r="130" ht="15.95" customHeight="1"/>
    <row r="131" ht="15.95" customHeight="1"/>
    <row r="132" ht="15.95" customHeight="1"/>
    <row r="133" ht="15.95" customHeight="1"/>
    <row r="134" ht="15.95" customHeight="1"/>
    <row r="135" ht="15.95" customHeight="1"/>
    <row r="136" ht="15.95" customHeight="1"/>
    <row r="137" ht="15.95" customHeight="1"/>
    <row r="138" ht="15.95" customHeight="1"/>
    <row r="139" ht="15.95" customHeight="1"/>
    <row r="140" ht="15.95" customHeight="1"/>
    <row r="141" ht="15.95" customHeight="1"/>
    <row r="142" ht="15.95" customHeight="1"/>
    <row r="143" ht="15.95" customHeight="1"/>
    <row r="144" ht="15.95" customHeight="1"/>
    <row r="145" ht="15.95" customHeight="1"/>
    <row r="146" ht="15.95" customHeight="1"/>
    <row r="147" ht="15.95" customHeight="1"/>
    <row r="148" ht="15.95" customHeight="1"/>
    <row r="149" ht="15.95" customHeight="1"/>
    <row r="150" ht="15.95" customHeight="1"/>
    <row r="151" ht="15.95" customHeight="1"/>
    <row r="152" ht="15.95" customHeight="1"/>
    <row r="153" ht="15.95" customHeight="1"/>
    <row r="154" ht="15.95" customHeight="1"/>
    <row r="155" ht="15.95" customHeight="1"/>
    <row r="156" ht="15.95" customHeight="1"/>
    <row r="157" ht="15.95" customHeight="1"/>
    <row r="158" ht="15.95" customHeight="1"/>
    <row r="159" ht="15.95" customHeight="1"/>
    <row r="160" ht="15.95" customHeight="1"/>
    <row r="161" ht="15.95" customHeight="1"/>
    <row r="162" ht="15.95" customHeight="1"/>
    <row r="163" ht="15.95" customHeight="1"/>
    <row r="164" ht="15.95" customHeight="1"/>
    <row r="165" ht="15.95" customHeight="1"/>
    <row r="166" ht="15.95" customHeight="1"/>
    <row r="167" ht="15.95" customHeight="1"/>
    <row r="168" ht="15.95" customHeight="1"/>
    <row r="169" ht="15.95" customHeight="1"/>
    <row r="170" ht="15.95" customHeight="1"/>
    <row r="171" ht="15.95" customHeight="1"/>
    <row r="172" ht="15.95" customHeight="1"/>
    <row r="173" ht="15.95" customHeight="1"/>
    <row r="174" ht="15.95" customHeight="1"/>
    <row r="175" ht="15.95" customHeight="1"/>
    <row r="176" ht="15.95" customHeight="1"/>
    <row r="177" ht="15.95" customHeight="1"/>
    <row r="178" ht="15.95" customHeight="1"/>
    <row r="179" ht="15.95" customHeight="1"/>
    <row r="180" ht="15.95" customHeight="1"/>
    <row r="181" ht="15.95" customHeight="1"/>
    <row r="182" ht="15.95" customHeight="1"/>
    <row r="183" ht="15.95" customHeight="1"/>
    <row r="184" ht="15.95" customHeight="1"/>
    <row r="185" ht="15.95" customHeight="1"/>
    <row r="186" ht="15.95" customHeight="1"/>
    <row r="187" ht="15.95" customHeight="1"/>
    <row r="188" ht="15.95" customHeight="1"/>
    <row r="189" ht="15.95" customHeight="1"/>
    <row r="190" ht="15.95" customHeight="1"/>
    <row r="191" ht="15.95" customHeight="1"/>
    <row r="192" ht="15.95" customHeight="1"/>
    <row r="193" ht="15.95" customHeight="1"/>
    <row r="194" ht="15.95" customHeight="1"/>
    <row r="195" ht="15.95" customHeight="1"/>
    <row r="196" ht="15.95" customHeight="1"/>
    <row r="197" ht="15.95" customHeight="1"/>
    <row r="198" ht="15.95" customHeight="1"/>
    <row r="199" ht="15.95" customHeight="1"/>
    <row r="200" ht="15.95" customHeight="1"/>
    <row r="201" ht="15.95" customHeight="1"/>
    <row r="202" ht="15.95" customHeight="1"/>
    <row r="203" ht="15.95" customHeight="1"/>
    <row r="204" ht="15.95" customHeight="1"/>
    <row r="205" ht="15.95" customHeight="1"/>
    <row r="206" ht="15.95" customHeight="1"/>
    <row r="207" ht="15.95" customHeight="1"/>
    <row r="208" ht="15.95" customHeight="1"/>
    <row r="209" ht="15.95" customHeight="1"/>
    <row r="210" ht="15.95" customHeight="1"/>
    <row r="211" ht="15.95" customHeight="1"/>
    <row r="212" ht="15.95" customHeight="1"/>
    <row r="213" ht="15.95" customHeight="1"/>
    <row r="214" ht="15.95" customHeight="1"/>
    <row r="215" ht="15.95" customHeight="1"/>
    <row r="216" ht="15.95" customHeight="1"/>
    <row r="217" ht="15.95" customHeight="1"/>
    <row r="218" ht="15.95" customHeight="1"/>
    <row r="219" ht="15.95" customHeight="1"/>
    <row r="220" ht="15.95" customHeight="1"/>
    <row r="221" ht="15.95" customHeight="1"/>
    <row r="222" ht="15.95" customHeight="1"/>
    <row r="223" ht="15.95" customHeight="1"/>
    <row r="224" ht="15.95" customHeight="1"/>
    <row r="225" ht="15.95" customHeight="1"/>
    <row r="226" ht="15.95" customHeight="1"/>
    <row r="227" ht="15.95" customHeight="1"/>
    <row r="228" ht="15.95" customHeight="1"/>
    <row r="229" ht="15.95" customHeight="1"/>
    <row r="230" ht="15.95" customHeight="1"/>
    <row r="231" ht="15.95" customHeight="1"/>
    <row r="232" ht="15.95" customHeight="1"/>
    <row r="233" ht="15.95" customHeight="1"/>
    <row r="234" ht="15.95" customHeight="1"/>
    <row r="235" ht="15.95" customHeight="1"/>
    <row r="236" ht="15.95" customHeight="1"/>
    <row r="237" ht="15.95" customHeight="1"/>
    <row r="238" ht="15.95" customHeight="1"/>
    <row r="239" ht="15.95" customHeight="1"/>
    <row r="240" ht="15.95" customHeight="1"/>
    <row r="241" ht="15.95" customHeight="1"/>
    <row r="242" ht="15.95" customHeight="1"/>
    <row r="243" ht="15.95" customHeight="1"/>
    <row r="244" ht="15.95" customHeight="1"/>
    <row r="245" ht="15.95" customHeight="1"/>
    <row r="246" ht="15.95" customHeight="1"/>
    <row r="247" ht="15.95" customHeight="1"/>
    <row r="248" ht="15.95" customHeight="1"/>
    <row r="249" ht="15.95" customHeight="1"/>
    <row r="250" ht="15.95" customHeight="1"/>
    <row r="251" ht="15.95" customHeight="1"/>
    <row r="252" ht="15.95" customHeight="1"/>
    <row r="253" ht="15.95" customHeight="1"/>
    <row r="254" ht="15.95" customHeight="1"/>
    <row r="255" ht="15.95" customHeight="1"/>
    <row r="256" ht="15.95" customHeight="1"/>
    <row r="257" ht="15.95" customHeight="1"/>
    <row r="258" ht="15.95" customHeight="1"/>
    <row r="259" ht="15.95" customHeight="1"/>
    <row r="260" ht="15.95" customHeight="1"/>
    <row r="261" ht="15.95" customHeight="1"/>
    <row r="262" ht="15.95" customHeight="1"/>
    <row r="263" ht="15.95" customHeight="1"/>
    <row r="264" ht="15.95" customHeight="1"/>
    <row r="265" ht="15.95" customHeight="1"/>
    <row r="266" ht="15.95" customHeight="1"/>
    <row r="267" ht="15.95" customHeight="1"/>
    <row r="268" ht="15.95" customHeight="1"/>
    <row r="269" ht="15.95" customHeight="1"/>
    <row r="270" ht="15.95" customHeight="1"/>
    <row r="271" ht="15.95" customHeight="1"/>
    <row r="272" ht="15.95" customHeight="1"/>
    <row r="273" ht="15.95" customHeight="1"/>
    <row r="274" ht="15.95" customHeight="1"/>
    <row r="275" ht="15.95" customHeight="1"/>
    <row r="276" ht="15.95" customHeight="1"/>
    <row r="277" ht="15.95" customHeight="1"/>
    <row r="278" ht="15.95" customHeight="1"/>
    <row r="279" ht="15.95" customHeight="1"/>
    <row r="280" ht="15.95" customHeight="1"/>
    <row r="281" ht="15.95" customHeight="1"/>
    <row r="282" ht="15.95" customHeight="1"/>
    <row r="283" ht="15.95" customHeight="1"/>
    <row r="284" ht="15.95" customHeight="1"/>
    <row r="285" ht="15.95" customHeight="1"/>
    <row r="286" ht="15.95" customHeight="1"/>
    <row r="287" ht="15.95" customHeight="1"/>
    <row r="288" ht="15.95" customHeight="1"/>
    <row r="289" ht="15.95" customHeight="1"/>
    <row r="290" ht="15.95" customHeight="1"/>
    <row r="291" ht="15.95" customHeight="1"/>
    <row r="292" ht="15.95" customHeight="1"/>
    <row r="293" ht="15.95" customHeight="1"/>
    <row r="294" ht="15.95" customHeight="1"/>
    <row r="295" ht="15.95" customHeight="1"/>
    <row r="296" ht="15.95" customHeight="1"/>
    <row r="297" ht="15.95" customHeight="1"/>
    <row r="298" ht="15.95" customHeight="1"/>
    <row r="299" ht="15.95" customHeight="1"/>
    <row r="300" ht="15.95" customHeight="1"/>
    <row r="301" ht="15.95" customHeight="1"/>
    <row r="302" ht="15.95" customHeight="1"/>
    <row r="303" ht="15.95" customHeight="1"/>
    <row r="304" ht="15.95" customHeight="1"/>
    <row r="305" ht="15.95" customHeight="1"/>
    <row r="306" ht="15.95" customHeight="1"/>
    <row r="307" ht="15.95" customHeight="1"/>
    <row r="308" ht="15.95" customHeight="1"/>
    <row r="309" ht="15.95" customHeight="1"/>
    <row r="310" ht="15.95" customHeight="1"/>
    <row r="311" ht="15.95" customHeight="1"/>
    <row r="312" ht="15.95" customHeight="1"/>
    <row r="313" ht="15.95" customHeight="1"/>
    <row r="314" ht="15.95" customHeight="1"/>
    <row r="315" ht="15.95" customHeight="1"/>
    <row r="316" ht="15.95" customHeight="1"/>
    <row r="317" ht="15.95" customHeight="1"/>
    <row r="318" ht="15.95" customHeight="1"/>
    <row r="319" ht="15.95" customHeight="1"/>
    <row r="320" ht="15.95" customHeight="1"/>
    <row r="321" ht="15.95" customHeight="1"/>
    <row r="322" ht="15.95" customHeight="1"/>
    <row r="323" ht="15.95" customHeight="1"/>
    <row r="324" ht="15.95" customHeight="1"/>
    <row r="325" ht="15.95" customHeight="1"/>
    <row r="326" ht="15.95" customHeight="1"/>
    <row r="327" ht="15.95" customHeight="1"/>
    <row r="328" ht="15.95" customHeight="1"/>
    <row r="329" ht="15.95" customHeight="1"/>
    <row r="330" ht="15.95" customHeight="1"/>
    <row r="331" ht="15.95" customHeight="1"/>
    <row r="332" ht="15.95" customHeight="1"/>
    <row r="333" ht="15.95" customHeight="1"/>
    <row r="334" ht="15.95" customHeight="1"/>
    <row r="335" ht="15.95" customHeight="1"/>
    <row r="336" ht="15.95" customHeight="1"/>
    <row r="337" ht="15.95" customHeight="1"/>
    <row r="338" ht="15.95" customHeight="1"/>
    <row r="339" ht="15.95" customHeight="1"/>
    <row r="340" ht="15.95" customHeight="1"/>
    <row r="341" ht="15.95" customHeight="1"/>
    <row r="342" ht="15.95" customHeight="1"/>
    <row r="343" ht="15.95" customHeight="1"/>
    <row r="344" ht="15.95" customHeight="1"/>
    <row r="345" ht="15.95" customHeight="1"/>
    <row r="346" ht="15.95" customHeight="1"/>
    <row r="347" ht="15.95" customHeight="1"/>
    <row r="348" ht="15.95" customHeight="1"/>
    <row r="349" ht="15.95" customHeight="1"/>
    <row r="350" ht="15.95" customHeight="1"/>
    <row r="351" ht="15.95" customHeight="1"/>
    <row r="352" ht="15.95" customHeight="1"/>
    <row r="353" ht="15.95" customHeight="1"/>
    <row r="354" ht="15.95" customHeight="1"/>
    <row r="355" ht="15.95" customHeight="1"/>
    <row r="356" ht="15.95" customHeight="1"/>
    <row r="357" ht="15.95" customHeight="1"/>
    <row r="358" ht="15.95" customHeight="1"/>
    <row r="359" ht="15.95" customHeight="1"/>
    <row r="360" ht="15.95" customHeight="1"/>
    <row r="361" ht="15.95" customHeight="1"/>
    <row r="362" ht="15.95" customHeight="1"/>
    <row r="363" ht="15.95" customHeight="1"/>
    <row r="364" ht="15.95" customHeight="1"/>
    <row r="365" ht="15.95" customHeight="1"/>
    <row r="366" ht="15.95" customHeight="1"/>
    <row r="367" ht="15.95" customHeight="1"/>
    <row r="368" ht="15.95" customHeight="1"/>
    <row r="369" ht="15.95" customHeight="1"/>
    <row r="370" ht="15.95" customHeight="1"/>
    <row r="371" ht="15.95" customHeight="1"/>
    <row r="372" ht="15.95" customHeight="1"/>
    <row r="373" ht="15.95" customHeight="1"/>
    <row r="374" ht="15.95" customHeight="1"/>
    <row r="375" ht="15.95" customHeight="1"/>
    <row r="376" ht="15.95" customHeight="1"/>
    <row r="377" ht="15.95" customHeight="1"/>
    <row r="378" ht="15.95" customHeight="1"/>
    <row r="379" ht="15.95" customHeight="1"/>
    <row r="380" ht="15.95" customHeight="1"/>
    <row r="381" ht="15.95" customHeight="1"/>
    <row r="382" ht="15.95" customHeight="1"/>
    <row r="383" ht="15.95" customHeight="1"/>
    <row r="384" ht="15.95" customHeight="1"/>
    <row r="385" ht="15.95" customHeight="1"/>
    <row r="386" ht="15.95" customHeight="1"/>
    <row r="387" ht="15.95" customHeight="1"/>
    <row r="388" ht="15.95" customHeight="1"/>
    <row r="389" ht="15.95" customHeight="1"/>
    <row r="390" ht="15.95" customHeight="1"/>
    <row r="391" ht="15.95" customHeight="1"/>
    <row r="392" ht="15.95" customHeight="1"/>
    <row r="393" ht="15.95" customHeight="1"/>
    <row r="394" ht="15.95" customHeight="1"/>
    <row r="395" ht="15.95" customHeight="1"/>
    <row r="396" ht="15.95" customHeight="1"/>
    <row r="397" ht="15.95" customHeight="1"/>
    <row r="398" ht="15.95" customHeight="1"/>
    <row r="399" ht="15.95" customHeight="1"/>
    <row r="400" ht="15.95" customHeight="1"/>
    <row r="401" ht="15.95" customHeight="1"/>
    <row r="402" ht="15.95" customHeight="1"/>
    <row r="403" ht="15.95" customHeight="1"/>
    <row r="404" ht="15.95" customHeight="1"/>
    <row r="405" ht="15.95" customHeight="1"/>
    <row r="406" ht="15.95" customHeight="1"/>
    <row r="407" ht="15.95" customHeight="1"/>
    <row r="408" ht="15.95" customHeight="1"/>
    <row r="409" ht="15.95" customHeight="1"/>
    <row r="410" ht="15.95" customHeight="1"/>
    <row r="411" ht="15.95" customHeight="1"/>
    <row r="412" ht="15.95" customHeight="1"/>
    <row r="413" ht="15.95" customHeight="1"/>
    <row r="414" ht="15.95" customHeight="1"/>
    <row r="415" ht="15.95" customHeight="1"/>
    <row r="416" ht="15.95" customHeight="1"/>
    <row r="417" ht="15.95" customHeight="1"/>
    <row r="418" ht="15.95" customHeight="1"/>
    <row r="419" ht="15.95" customHeight="1"/>
    <row r="420" ht="15.95" customHeight="1"/>
    <row r="421" ht="15.95" customHeight="1"/>
    <row r="422" ht="15.95" customHeight="1"/>
    <row r="423" ht="15.95" customHeight="1"/>
    <row r="424" ht="15.95" customHeight="1"/>
    <row r="425" ht="15.95" customHeight="1"/>
    <row r="426" ht="15.95" customHeight="1"/>
    <row r="427" ht="15.95" customHeight="1"/>
    <row r="428" ht="15.95" customHeight="1"/>
    <row r="429" ht="15.95" customHeight="1"/>
    <row r="430" ht="15.95" customHeight="1"/>
    <row r="431" ht="15.95" customHeight="1"/>
    <row r="432" ht="15.95" customHeight="1"/>
    <row r="433" ht="15.95" customHeight="1"/>
    <row r="434" ht="15.95" customHeight="1"/>
    <row r="435" ht="15.95" customHeight="1"/>
    <row r="436" ht="15.95" customHeight="1"/>
    <row r="437" ht="15.95" customHeight="1"/>
    <row r="438" ht="15.95" customHeight="1"/>
    <row r="439" ht="15.95" customHeight="1"/>
    <row r="440" ht="15.95" customHeight="1"/>
    <row r="441" ht="15.95" customHeight="1"/>
    <row r="442" ht="15.95" customHeight="1"/>
    <row r="443" ht="15.95" customHeight="1"/>
    <row r="444" ht="15.95" customHeight="1"/>
    <row r="445" ht="15.95" customHeight="1"/>
    <row r="446" ht="15.95" customHeight="1"/>
    <row r="447" ht="15.95" customHeight="1"/>
    <row r="448" ht="15.95" customHeight="1"/>
    <row r="449" ht="15.95" customHeight="1"/>
    <row r="450" ht="15.95" customHeight="1"/>
    <row r="451" ht="15.95" customHeight="1"/>
    <row r="452" ht="15.95" customHeight="1"/>
    <row r="453" ht="15.95" customHeight="1"/>
    <row r="454" ht="15.95" customHeight="1"/>
    <row r="455" ht="15.95" customHeight="1"/>
    <row r="456" ht="15.95" customHeight="1"/>
    <row r="457" ht="15.95" customHeight="1"/>
    <row r="458" ht="15.95" customHeight="1"/>
    <row r="459" ht="15.95" customHeight="1"/>
    <row r="460" ht="15.95" customHeight="1"/>
    <row r="461" ht="15.95" customHeight="1"/>
    <row r="462" ht="15.95" customHeight="1"/>
    <row r="463" ht="15.95" customHeight="1"/>
    <row r="464" ht="15.95" customHeight="1"/>
    <row r="465" ht="15.95" customHeight="1"/>
    <row r="466" ht="15.95" customHeight="1"/>
    <row r="467" ht="15.95" customHeight="1"/>
    <row r="468" ht="15.95" customHeight="1"/>
    <row r="469" ht="15.95" customHeight="1"/>
    <row r="470" ht="15.95" customHeight="1"/>
    <row r="471" ht="15.95" customHeight="1"/>
    <row r="472" ht="15.95" customHeight="1"/>
    <row r="473" ht="15.95" customHeight="1"/>
    <row r="474" ht="15.95" customHeight="1"/>
    <row r="475" ht="15.95" customHeight="1"/>
    <row r="476" ht="15.95" customHeight="1"/>
    <row r="477" ht="15.95" customHeight="1"/>
    <row r="478" ht="15.95" customHeight="1"/>
    <row r="479" ht="15.95" customHeight="1"/>
    <row r="480" ht="15.95" customHeight="1"/>
    <row r="481" ht="15.95" customHeight="1"/>
    <row r="482" ht="15.95" customHeight="1"/>
    <row r="483" ht="15.95" customHeight="1"/>
    <row r="484" ht="15.95" customHeight="1"/>
    <row r="485" ht="15.95" customHeight="1"/>
    <row r="486" ht="15.95" customHeight="1"/>
    <row r="487" ht="15.95" customHeight="1"/>
    <row r="488" ht="15.95" customHeight="1"/>
    <row r="489" ht="15.95" customHeight="1"/>
    <row r="490" ht="15.95" customHeight="1"/>
    <row r="491" ht="15.95" customHeight="1"/>
    <row r="492" ht="15.95" customHeight="1"/>
    <row r="493" ht="15.95" customHeight="1"/>
    <row r="494" ht="15.95" customHeight="1"/>
    <row r="495" ht="15.95" customHeight="1"/>
    <row r="496" ht="15.95" customHeight="1"/>
    <row r="497" ht="15.95" customHeight="1"/>
    <row r="498" ht="15.95" customHeight="1"/>
    <row r="499" ht="15.95" customHeight="1"/>
    <row r="500" ht="15.95" customHeight="1"/>
    <row r="501" ht="15.95" customHeight="1"/>
    <row r="502" ht="15.95" customHeight="1"/>
    <row r="503" ht="15.95" customHeight="1"/>
    <row r="504" ht="15.95" customHeight="1"/>
    <row r="505" ht="15.95" customHeight="1"/>
    <row r="506" ht="15.95" customHeight="1"/>
    <row r="507" ht="15.95" customHeight="1"/>
    <row r="508" ht="15.95" customHeight="1"/>
    <row r="509" ht="15.95" customHeight="1"/>
    <row r="510" ht="15.95" customHeight="1"/>
    <row r="511" ht="15.95" customHeight="1"/>
    <row r="512" ht="15.95" customHeight="1"/>
    <row r="513" ht="15.95" customHeight="1"/>
    <row r="514" ht="15.95" customHeight="1"/>
    <row r="515" ht="15.95" customHeight="1"/>
    <row r="516" ht="15.95" customHeight="1"/>
    <row r="517" ht="15.95" customHeight="1"/>
    <row r="518" ht="15.95" customHeight="1"/>
    <row r="519" ht="15.95" customHeight="1"/>
    <row r="520" ht="15.95" customHeight="1"/>
    <row r="521" ht="15.95" customHeight="1"/>
    <row r="522" ht="15.95" customHeight="1"/>
    <row r="523" ht="15.95" customHeight="1"/>
    <row r="524" ht="15.95" customHeight="1"/>
    <row r="525" ht="15.95" customHeight="1"/>
    <row r="526" ht="15.95" customHeight="1"/>
    <row r="527" ht="15.95" customHeight="1"/>
    <row r="528" ht="15.95" customHeight="1"/>
    <row r="529" ht="15.95" customHeight="1"/>
    <row r="530" ht="15.95" customHeight="1"/>
    <row r="531" ht="15.95" customHeight="1"/>
    <row r="532" ht="15.95" customHeight="1"/>
    <row r="533" ht="15.95" customHeight="1"/>
    <row r="534" ht="15.95" customHeight="1"/>
    <row r="535" ht="15.95" customHeight="1"/>
    <row r="536" ht="15.95" customHeight="1"/>
    <row r="537" ht="15.95" customHeight="1"/>
    <row r="538" ht="15.95" customHeight="1"/>
    <row r="539" ht="15.95" customHeight="1"/>
    <row r="540" ht="15.95" customHeight="1"/>
    <row r="541" ht="15.95" customHeight="1"/>
    <row r="542" ht="15.95" customHeight="1"/>
    <row r="543" ht="15.95" customHeight="1"/>
    <row r="544" ht="15.95" customHeight="1"/>
    <row r="545" ht="15.95" customHeight="1"/>
    <row r="546" ht="15.95" customHeight="1"/>
    <row r="547" ht="15.95" customHeight="1"/>
    <row r="548" ht="15.95" customHeight="1"/>
    <row r="549" ht="15.95" customHeight="1"/>
    <row r="550" ht="15.95" customHeight="1"/>
    <row r="551" ht="15.95" customHeight="1"/>
    <row r="552" ht="15.95" customHeight="1"/>
    <row r="553" ht="15.95" customHeight="1"/>
    <row r="554" ht="15.95" customHeight="1"/>
    <row r="555" ht="15.95" customHeight="1"/>
    <row r="556" ht="15.95" customHeight="1"/>
    <row r="557" ht="15.95" customHeight="1"/>
    <row r="558" ht="15.95" customHeight="1"/>
    <row r="559" ht="15.95" customHeight="1"/>
    <row r="560" ht="15.95" customHeight="1"/>
    <row r="561" ht="15.95" customHeight="1"/>
    <row r="562" ht="15.95" customHeight="1"/>
    <row r="563" ht="15.95" customHeight="1"/>
    <row r="564" ht="15.95" customHeight="1"/>
    <row r="565" ht="15.95" customHeight="1"/>
    <row r="566" ht="15.95" customHeight="1"/>
    <row r="567" ht="15.95" customHeight="1"/>
    <row r="568" ht="15.95" customHeight="1"/>
    <row r="569" ht="15.95" customHeight="1"/>
    <row r="570" ht="15.95" customHeight="1"/>
    <row r="571" ht="15.95" customHeight="1"/>
    <row r="572" ht="15.95" customHeight="1"/>
    <row r="573" ht="15.95" customHeight="1"/>
    <row r="574" ht="15.95" customHeight="1"/>
    <row r="575" ht="15.95" customHeight="1"/>
    <row r="576" ht="15.95" customHeight="1"/>
    <row r="577" ht="15.95" customHeight="1"/>
    <row r="578" ht="15.95" customHeight="1"/>
    <row r="579" ht="15.95" customHeight="1"/>
    <row r="580" ht="15.95" customHeight="1"/>
    <row r="581" ht="15.95" customHeight="1"/>
    <row r="582" ht="15.95" customHeight="1"/>
    <row r="583" ht="15.95" customHeight="1"/>
    <row r="584" ht="15.95" customHeight="1"/>
    <row r="585" ht="15.95" customHeight="1"/>
    <row r="586" ht="15.95" customHeight="1"/>
    <row r="587" ht="15.95" customHeight="1"/>
    <row r="588" ht="15.95" customHeight="1"/>
    <row r="589" ht="15.95" customHeight="1"/>
    <row r="590" ht="15.95" customHeight="1"/>
    <row r="591" ht="15.95" customHeight="1"/>
    <row r="592" ht="15.95" customHeight="1"/>
    <row r="593" ht="15.95" customHeight="1"/>
    <row r="594" ht="15.95" customHeight="1"/>
    <row r="595" ht="15.95" customHeight="1"/>
    <row r="596" ht="15.95" customHeight="1"/>
    <row r="597" ht="15.95" customHeight="1"/>
    <row r="598" ht="15.95" customHeight="1"/>
    <row r="599" ht="15.95" customHeight="1"/>
    <row r="600" ht="15.95" customHeight="1"/>
    <row r="601" ht="15.95" customHeight="1"/>
    <row r="602" ht="15.95" customHeight="1"/>
    <row r="603" ht="15.95" customHeight="1"/>
    <row r="604" ht="15.95" customHeight="1"/>
    <row r="605" ht="15.95" customHeight="1"/>
    <row r="606" ht="15.95" customHeight="1"/>
    <row r="607" ht="15.95" customHeight="1"/>
    <row r="608" ht="15.95" customHeight="1"/>
    <row r="609" ht="15.95" customHeight="1"/>
    <row r="610" ht="15.95" customHeight="1"/>
    <row r="611" ht="15.95" customHeight="1"/>
    <row r="612" ht="15.95" customHeight="1"/>
    <row r="613" ht="15.95" customHeight="1"/>
    <row r="614" ht="15.95" customHeight="1"/>
    <row r="615" ht="15.95" customHeight="1"/>
    <row r="616" ht="15.95" customHeight="1"/>
    <row r="617" ht="15.95" customHeight="1"/>
    <row r="618" ht="15.95" customHeight="1"/>
    <row r="619" ht="15.95" customHeight="1"/>
    <row r="620" ht="15.95" customHeight="1"/>
    <row r="621" ht="15.95" customHeight="1"/>
    <row r="622" ht="15.95" customHeight="1"/>
    <row r="623" ht="15.95" customHeight="1"/>
    <row r="624" ht="15.95" customHeight="1"/>
    <row r="625" ht="15.95" customHeight="1"/>
    <row r="626" ht="15.95" customHeight="1"/>
    <row r="627" ht="15.95" customHeight="1"/>
    <row r="628" ht="15.95" customHeight="1"/>
    <row r="629" ht="15.95" customHeight="1"/>
    <row r="630" ht="15.95" customHeight="1"/>
    <row r="631" ht="15.95" customHeight="1"/>
    <row r="632" ht="15.95" customHeight="1"/>
    <row r="633" ht="15.95" customHeight="1"/>
    <row r="634" ht="15.95" customHeight="1"/>
    <row r="635" ht="15.95" customHeight="1"/>
    <row r="636" ht="15.95" customHeight="1"/>
    <row r="637" ht="15.95" customHeight="1"/>
    <row r="638" ht="15.95" customHeight="1"/>
    <row r="639" ht="15.95" customHeight="1"/>
    <row r="640" ht="15.95" customHeight="1"/>
    <row r="641" ht="15.95" customHeight="1"/>
    <row r="642" ht="15.95" customHeight="1"/>
    <row r="643" ht="15.95" customHeight="1"/>
    <row r="644" ht="15.95" customHeight="1"/>
    <row r="645" ht="15.95" customHeight="1"/>
    <row r="646" ht="15.95" customHeight="1"/>
    <row r="647" ht="15.95" customHeight="1"/>
    <row r="648" ht="15.95" customHeight="1"/>
    <row r="649" ht="15.95" customHeight="1"/>
    <row r="650" ht="15.95" customHeight="1"/>
    <row r="651" ht="15.95" customHeight="1"/>
    <row r="652" ht="15.95" customHeight="1"/>
    <row r="653" ht="15.95" customHeight="1"/>
    <row r="654" ht="15.95" customHeight="1"/>
    <row r="655" ht="15.95" customHeight="1"/>
    <row r="656" ht="15.95" customHeight="1"/>
    <row r="657" ht="15.95" customHeight="1"/>
    <row r="658" ht="15.95" customHeight="1"/>
    <row r="659" ht="15.95" customHeight="1"/>
    <row r="660" ht="15.95" customHeight="1"/>
    <row r="661" ht="15.95" customHeight="1"/>
    <row r="662" ht="15.95" customHeight="1"/>
    <row r="663" ht="15.95" customHeight="1"/>
    <row r="664" ht="15.95" customHeight="1"/>
    <row r="665" ht="15.95" customHeight="1"/>
    <row r="666" ht="15.95" customHeight="1"/>
    <row r="667" ht="15.95" customHeight="1"/>
    <row r="668" ht="15.95" customHeight="1"/>
    <row r="669" ht="15.95" customHeight="1"/>
    <row r="670" ht="15.95" customHeight="1"/>
    <row r="671" ht="15.95" customHeight="1"/>
    <row r="672" ht="15.95" customHeight="1"/>
    <row r="673" ht="15.95" customHeight="1"/>
    <row r="674" ht="15.95" customHeight="1"/>
    <row r="675" ht="15.95" customHeight="1"/>
    <row r="676" ht="15.95" customHeight="1"/>
    <row r="677" ht="15.95" customHeight="1"/>
    <row r="678" ht="15.95" customHeight="1"/>
    <row r="679" ht="15.95" customHeight="1"/>
    <row r="680" ht="15.95" customHeight="1"/>
    <row r="681" ht="15.95" customHeight="1"/>
    <row r="682" ht="15.95" customHeight="1"/>
    <row r="683" ht="15.95" customHeight="1"/>
    <row r="684" ht="15.95" customHeight="1"/>
    <row r="685" ht="15.95" customHeight="1"/>
    <row r="686" ht="15.95" customHeight="1"/>
    <row r="687" ht="15.95" customHeight="1"/>
    <row r="688" ht="15.95" customHeight="1"/>
    <row r="689" ht="15.95" customHeight="1"/>
    <row r="690" ht="15.95" customHeight="1"/>
    <row r="691" ht="15.95" customHeight="1"/>
    <row r="692" ht="15.95" customHeight="1"/>
    <row r="693" ht="15.95" customHeight="1"/>
    <row r="694" ht="15.95" customHeight="1"/>
    <row r="695" ht="15.95" customHeight="1"/>
    <row r="696" ht="15.95" customHeight="1"/>
    <row r="697" ht="15.95" customHeight="1"/>
    <row r="698" ht="15.95" customHeight="1"/>
    <row r="699" ht="15.95" customHeight="1"/>
    <row r="700" ht="15.95" customHeight="1"/>
    <row r="701" ht="15.95" customHeight="1"/>
    <row r="702" ht="15.95" customHeight="1"/>
    <row r="703" ht="15.95" customHeight="1"/>
    <row r="704" ht="15.95" customHeight="1"/>
    <row r="705" ht="15.95" customHeight="1"/>
    <row r="706" ht="15.95" customHeight="1"/>
    <row r="707" ht="15.95" customHeight="1"/>
    <row r="708" ht="15.95" customHeight="1"/>
    <row r="709" ht="15.95" customHeight="1"/>
    <row r="710" ht="15.95" customHeight="1"/>
    <row r="711" ht="15.95" customHeight="1"/>
    <row r="712" ht="15.95" customHeight="1"/>
    <row r="713" ht="15.95" customHeight="1"/>
    <row r="714" ht="15.95" customHeight="1"/>
    <row r="715" ht="15.95" customHeight="1"/>
    <row r="716" ht="15.95" customHeight="1"/>
    <row r="717" ht="15.95" customHeight="1"/>
    <row r="718" ht="15.95" customHeight="1"/>
    <row r="719" ht="15.95" customHeight="1"/>
    <row r="720" ht="15.95" customHeight="1"/>
    <row r="721" ht="15.95" customHeight="1"/>
  </sheetData>
  <mergeCells count="14">
    <mergeCell ref="Y76:Z79"/>
    <mergeCell ref="E53:E55"/>
    <mergeCell ref="D53:D55"/>
    <mergeCell ref="Y84:Z84"/>
    <mergeCell ref="Y86:Z86"/>
    <mergeCell ref="Z65:AA65"/>
    <mergeCell ref="R53:R55"/>
    <mergeCell ref="N53:N55"/>
    <mergeCell ref="H53:H55"/>
    <mergeCell ref="X31:Y32"/>
    <mergeCell ref="AN53:AO54"/>
    <mergeCell ref="Z43:AA43"/>
    <mergeCell ref="V45:AC63"/>
    <mergeCell ref="I54:K54"/>
  </mergeCells>
  <printOptions horizontalCentered="1" verticalCentered="1"/>
  <pageMargins left="0.261811024" right="0.261811024" top="0.53740157499999996" bottom="0.53740157499999996" header="0.31496062000000002" footer="0.31496062000000002"/>
  <pageSetup paperSize="9" scale="94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9B307-5664-44C0-AFBE-CDE77E85E1E3}">
  <sheetPr>
    <pageSetUpPr fitToPage="1"/>
  </sheetPr>
  <dimension ref="A1:BQ723"/>
  <sheetViews>
    <sheetView showGridLines="0" topLeftCell="A22" zoomScale="109" zoomScaleNormal="109" workbookViewId="0">
      <selection activeCell="H18" sqref="H18"/>
    </sheetView>
  </sheetViews>
  <sheetFormatPr defaultColWidth="2.7109375" defaultRowHeight="9.9499999999999993" customHeight="1"/>
  <cols>
    <col min="1" max="5" width="8.7109375" customWidth="1"/>
    <col min="6" max="7" width="0.85546875" customWidth="1"/>
    <col min="8" max="11" width="2.28515625" customWidth="1"/>
    <col min="12" max="13" width="0.85546875" customWidth="1"/>
    <col min="14" max="14" width="2.28515625" customWidth="1"/>
    <col min="15" max="17" width="0.85546875" customWidth="1"/>
    <col min="18" max="18" width="2.28515625" customWidth="1"/>
    <col min="19" max="19" width="0.85546875" customWidth="1"/>
    <col min="20" max="20" width="1.5703125" customWidth="1"/>
    <col min="21" max="21" width="0.85546875" customWidth="1"/>
    <col min="26" max="26" width="3.28515625" bestFit="1" customWidth="1"/>
    <col min="30" max="30" width="0.85546875" customWidth="1"/>
    <col min="31" max="31" width="1.5703125" customWidth="1"/>
    <col min="32" max="32" width="0.85546875" customWidth="1"/>
    <col min="33" max="33" width="2.28515625" customWidth="1"/>
    <col min="34" max="36" width="0.85546875" customWidth="1"/>
    <col min="37" max="37" width="2.28515625" customWidth="1"/>
    <col min="38" max="39" width="0.85546875" customWidth="1"/>
    <col min="40" max="43" width="2.28515625" customWidth="1"/>
    <col min="44" max="45" width="0.85546875" customWidth="1"/>
    <col min="46" max="46" width="2.28515625" customWidth="1"/>
    <col min="47" max="64" width="8.7109375" customWidth="1"/>
  </cols>
  <sheetData>
    <row r="1" spans="1:69" ht="18" customHeight="1">
      <c r="A1" s="195" t="s">
        <v>532</v>
      </c>
      <c r="B1" s="195"/>
      <c r="C1" s="195"/>
      <c r="D1" s="195"/>
      <c r="E1" s="195"/>
      <c r="AV1">
        <v>5</v>
      </c>
    </row>
    <row r="2" spans="1:69" ht="18" customHeight="1">
      <c r="A2" t="s">
        <v>409</v>
      </c>
      <c r="AV2">
        <f>2+(1.923+0.1)*AV1^0.9</f>
        <v>10.611303316297738</v>
      </c>
    </row>
    <row r="3" spans="1:69" ht="18" customHeight="1">
      <c r="A3" t="s">
        <v>515</v>
      </c>
      <c r="AV3" s="209" t="s">
        <v>410</v>
      </c>
    </row>
    <row r="4" spans="1:69" ht="18" customHeight="1">
      <c r="A4" t="s">
        <v>499</v>
      </c>
      <c r="AV4" s="209" t="s">
        <v>403</v>
      </c>
    </row>
    <row r="5" spans="1:69" ht="18" customHeight="1">
      <c r="A5" s="97" t="s">
        <v>521</v>
      </c>
      <c r="AV5" t="s">
        <v>391</v>
      </c>
    </row>
    <row r="6" spans="1:69" ht="18" customHeight="1">
      <c r="A6" t="s">
        <v>516</v>
      </c>
      <c r="AV6" t="s">
        <v>390</v>
      </c>
      <c r="BQ6" s="209" t="s">
        <v>404</v>
      </c>
    </row>
    <row r="7" spans="1:69" ht="18" customHeight="1">
      <c r="A7" t="s">
        <v>517</v>
      </c>
      <c r="AV7" t="s">
        <v>393</v>
      </c>
    </row>
    <row r="8" spans="1:69" ht="18" customHeight="1">
      <c r="A8" s="195" t="s">
        <v>518</v>
      </c>
      <c r="AV8" t="s">
        <v>389</v>
      </c>
    </row>
    <row r="9" spans="1:69" ht="18" customHeight="1">
      <c r="A9" t="s">
        <v>519</v>
      </c>
      <c r="AV9" t="s">
        <v>408</v>
      </c>
    </row>
    <row r="10" spans="1:69" ht="18" customHeight="1">
      <c r="A10" t="s">
        <v>520</v>
      </c>
      <c r="AV10" t="s">
        <v>394</v>
      </c>
      <c r="BC10" s="209" t="s">
        <v>404</v>
      </c>
    </row>
    <row r="11" spans="1:69" ht="18" customHeight="1">
      <c r="A11" t="s">
        <v>500</v>
      </c>
      <c r="AV11" t="s">
        <v>392</v>
      </c>
    </row>
    <row r="12" spans="1:69" ht="18" customHeight="1">
      <c r="A12" t="s">
        <v>522</v>
      </c>
      <c r="AV12" t="s">
        <v>395</v>
      </c>
    </row>
    <row r="13" spans="1:69" ht="18" customHeight="1">
      <c r="A13" t="s">
        <v>523</v>
      </c>
      <c r="AV13" t="s">
        <v>396</v>
      </c>
    </row>
    <row r="14" spans="1:69" ht="18" customHeight="1">
      <c r="A14" s="212" t="s">
        <v>503</v>
      </c>
      <c r="B14" s="212" t="s">
        <v>502</v>
      </c>
      <c r="C14" s="212" t="s">
        <v>507</v>
      </c>
      <c r="D14" s="212" t="s">
        <v>506</v>
      </c>
      <c r="E14" s="212" t="s">
        <v>514</v>
      </c>
      <c r="H14" s="226" t="s">
        <v>533</v>
      </c>
      <c r="AV14" t="s">
        <v>398</v>
      </c>
    </row>
    <row r="15" spans="1:69" ht="18" customHeight="1">
      <c r="A15" s="212">
        <v>1</v>
      </c>
      <c r="B15" s="245">
        <f>182-9/4*A15*2</f>
        <v>177.5</v>
      </c>
      <c r="C15" s="246">
        <f>B15*PI()</f>
        <v>557.63269601218826</v>
      </c>
      <c r="D15" s="246">
        <f>C15/(1.923+0.6)</f>
        <v>221.01969719072068</v>
      </c>
      <c r="E15" s="212" t="s">
        <v>508</v>
      </c>
      <c r="H15" s="226" t="s">
        <v>505</v>
      </c>
      <c r="AV15" t="s">
        <v>399</v>
      </c>
    </row>
    <row r="16" spans="1:69" ht="18" customHeight="1">
      <c r="A16" s="212">
        <v>2</v>
      </c>
      <c r="B16" s="245">
        <f t="shared" ref="B16:B18" si="0">182-9/4*A16*2</f>
        <v>173</v>
      </c>
      <c r="C16" s="246">
        <f>B16*PI()</f>
        <v>543.49552907103418</v>
      </c>
      <c r="D16" s="246">
        <f>C16/(1.923+0.6)</f>
        <v>215.41638092391366</v>
      </c>
      <c r="E16" s="212" t="s">
        <v>509</v>
      </c>
      <c r="H16" t="s">
        <v>524</v>
      </c>
      <c r="AV16" s="97" t="s">
        <v>400</v>
      </c>
    </row>
    <row r="17" spans="1:48" ht="18" customHeight="1">
      <c r="A17" s="212">
        <v>3</v>
      </c>
      <c r="B17" s="245">
        <f t="shared" si="0"/>
        <v>168.5</v>
      </c>
      <c r="C17" s="246">
        <f>B17*PI()</f>
        <v>529.35836212988011</v>
      </c>
      <c r="D17" s="246">
        <f>C17/(1.923+0.6)</f>
        <v>209.81306465710665</v>
      </c>
      <c r="E17" s="212" t="s">
        <v>510</v>
      </c>
      <c r="H17" t="s">
        <v>534</v>
      </c>
      <c r="AV17" s="97" t="s">
        <v>401</v>
      </c>
    </row>
    <row r="18" spans="1:48" ht="18" customHeight="1">
      <c r="A18" s="212">
        <v>4</v>
      </c>
      <c r="B18" s="245">
        <f t="shared" si="0"/>
        <v>164</v>
      </c>
      <c r="C18" s="246">
        <f>B18*PI()</f>
        <v>515.22119518872603</v>
      </c>
      <c r="D18" s="246">
        <f>C18/(1.923+0.6)</f>
        <v>204.20974839029964</v>
      </c>
      <c r="E18" s="212" t="s">
        <v>511</v>
      </c>
      <c r="H18" t="s">
        <v>537</v>
      </c>
      <c r="AV18" s="97" t="s">
        <v>501</v>
      </c>
    </row>
    <row r="19" spans="1:48" ht="18" customHeight="1">
      <c r="A19" s="212" t="s">
        <v>526</v>
      </c>
      <c r="B19" s="219" t="s">
        <v>504</v>
      </c>
      <c r="C19" s="219" t="s">
        <v>504</v>
      </c>
      <c r="D19" s="219" t="s">
        <v>504</v>
      </c>
      <c r="E19" s="219" t="s">
        <v>504</v>
      </c>
      <c r="H19" s="226" t="s">
        <v>513</v>
      </c>
      <c r="AV19" s="97" t="s">
        <v>402</v>
      </c>
    </row>
    <row r="20" spans="1:48" ht="18" customHeight="1">
      <c r="A20" t="s">
        <v>525</v>
      </c>
    </row>
    <row r="21" spans="1:48" ht="18" customHeight="1">
      <c r="A21" s="212" t="s">
        <v>503</v>
      </c>
      <c r="B21" s="212" t="s">
        <v>502</v>
      </c>
      <c r="C21" s="212" t="s">
        <v>507</v>
      </c>
      <c r="D21" s="212" t="s">
        <v>506</v>
      </c>
      <c r="E21" s="212" t="s">
        <v>514</v>
      </c>
      <c r="H21" s="226" t="s">
        <v>536</v>
      </c>
    </row>
    <row r="22" spans="1:48" ht="18" customHeight="1">
      <c r="A22" s="212">
        <v>1</v>
      </c>
      <c r="B22" s="245">
        <f>179-10.6/5*A22*2</f>
        <v>174.76</v>
      </c>
      <c r="C22" s="246">
        <f>B22*PI()</f>
        <v>549.02473214135216</v>
      </c>
      <c r="D22" s="246">
        <f>C22/(1.923+0.6)</f>
        <v>217.60790017493147</v>
      </c>
      <c r="E22" s="212" t="s">
        <v>508</v>
      </c>
      <c r="H22" s="226" t="s">
        <v>535</v>
      </c>
    </row>
    <row r="23" spans="1:48" ht="18" customHeight="1">
      <c r="A23" s="212">
        <v>2</v>
      </c>
      <c r="B23" s="245">
        <f t="shared" ref="B23:B26" si="1">179-10.6/5*A23*2</f>
        <v>170.52</v>
      </c>
      <c r="C23" s="246">
        <f>B23*PI()</f>
        <v>535.70437929013156</v>
      </c>
      <c r="D23" s="246">
        <f>C23/(1.923+0.6)</f>
        <v>212.3283310702067</v>
      </c>
      <c r="E23" s="212" t="s">
        <v>512</v>
      </c>
      <c r="H23" s="226" t="s">
        <v>528</v>
      </c>
    </row>
    <row r="24" spans="1:48" ht="18" customHeight="1">
      <c r="A24" s="212">
        <v>3</v>
      </c>
      <c r="B24" s="245">
        <f t="shared" si="1"/>
        <v>166.28</v>
      </c>
      <c r="C24" s="246">
        <f>B24*PI()</f>
        <v>522.38402643891084</v>
      </c>
      <c r="D24" s="246">
        <f>C24/(1.923+0.6)</f>
        <v>207.0487619654819</v>
      </c>
      <c r="E24" s="212" t="s">
        <v>512</v>
      </c>
      <c r="H24" s="226" t="s">
        <v>529</v>
      </c>
    </row>
    <row r="25" spans="1:48" ht="18" customHeight="1">
      <c r="A25" s="212">
        <v>4</v>
      </c>
      <c r="B25" s="245">
        <f t="shared" si="1"/>
        <v>162.04</v>
      </c>
      <c r="C25" s="246">
        <f>B25*PI()</f>
        <v>509.06367358769006</v>
      </c>
      <c r="D25" s="246">
        <f>C25/(1.923+0.6)</f>
        <v>201.76919286075704</v>
      </c>
      <c r="E25" s="212" t="s">
        <v>510</v>
      </c>
      <c r="H25" s="226" t="s">
        <v>530</v>
      </c>
    </row>
    <row r="26" spans="1:48" ht="18" customHeight="1">
      <c r="A26" s="212">
        <v>5</v>
      </c>
      <c r="B26" s="245">
        <f t="shared" si="1"/>
        <v>157.80000000000001</v>
      </c>
      <c r="C26" s="246">
        <f>B26*PI()</f>
        <v>495.7433207364694</v>
      </c>
      <c r="D26" s="246">
        <f>C26/(1.923+0.6)</f>
        <v>196.48962375603224</v>
      </c>
      <c r="E26" s="212" t="s">
        <v>511</v>
      </c>
      <c r="H26" s="226" t="s">
        <v>531</v>
      </c>
    </row>
    <row r="27" spans="1:48" ht="9.9499999999999993" customHeight="1">
      <c r="A27" s="247" t="s">
        <v>527</v>
      </c>
      <c r="B27" s="245"/>
      <c r="C27" s="246"/>
      <c r="D27" s="203"/>
      <c r="E27" s="203"/>
    </row>
    <row r="28" spans="1:48" ht="3.95" customHeight="1">
      <c r="B28" s="193"/>
      <c r="C28" s="193"/>
      <c r="D28" s="193"/>
      <c r="E28" s="193"/>
      <c r="F28" s="193"/>
      <c r="G28" s="193"/>
      <c r="H28" s="193"/>
      <c r="I28" s="193"/>
      <c r="J28" s="193"/>
      <c r="K28" s="193"/>
      <c r="L28" s="193"/>
      <c r="M28" s="193"/>
      <c r="N28" s="193"/>
      <c r="O28" s="193"/>
      <c r="P28" s="193"/>
      <c r="Q28" s="193"/>
      <c r="R28" s="193"/>
      <c r="S28" s="193"/>
      <c r="T28" s="193"/>
      <c r="U28" s="193"/>
      <c r="V28" s="193"/>
      <c r="W28" s="193"/>
      <c r="X28" s="193"/>
      <c r="Y28" s="193"/>
      <c r="Z28" s="193"/>
      <c r="AA28" s="193"/>
      <c r="AB28" s="193"/>
      <c r="AC28" s="193"/>
      <c r="AD28" s="193"/>
      <c r="AE28" s="193"/>
      <c r="AF28" s="193"/>
      <c r="AG28" s="193"/>
      <c r="AH28" s="193"/>
      <c r="AI28" s="193"/>
      <c r="AJ28" s="193"/>
      <c r="AK28" s="193"/>
      <c r="AL28" s="193"/>
      <c r="AM28" s="193"/>
      <c r="AN28" s="193"/>
      <c r="AO28" s="193"/>
      <c r="AP28" s="193"/>
      <c r="AQ28" s="193"/>
      <c r="AR28" s="193"/>
      <c r="AS28" s="193"/>
    </row>
    <row r="29" spans="1:48" ht="3.95" customHeight="1">
      <c r="F29" s="193"/>
      <c r="AS29" s="193"/>
    </row>
    <row r="30" spans="1:48" ht="9.9499999999999993" customHeight="1">
      <c r="F30" s="193"/>
      <c r="H30" s="192"/>
      <c r="I30" s="192"/>
      <c r="J30" s="192"/>
      <c r="K30" s="192"/>
      <c r="L30" s="192"/>
      <c r="M30" s="192"/>
      <c r="N30" s="192"/>
      <c r="O30" s="192"/>
      <c r="P30" s="192"/>
      <c r="Q30" s="192"/>
      <c r="R30" s="192"/>
      <c r="S30" s="192"/>
      <c r="T30" s="192"/>
      <c r="U30" s="192"/>
      <c r="V30" s="192"/>
      <c r="W30" s="192"/>
      <c r="X30" s="192"/>
      <c r="Y30" s="192"/>
      <c r="Z30" s="192"/>
      <c r="AA30" s="192"/>
      <c r="AB30" s="192"/>
      <c r="AC30" s="192"/>
      <c r="AD30" s="192"/>
      <c r="AE30" s="192"/>
      <c r="AF30" s="192"/>
      <c r="AG30" s="192"/>
      <c r="AH30" s="192"/>
      <c r="AI30" s="192"/>
      <c r="AJ30" s="192"/>
      <c r="AK30" s="192"/>
      <c r="AL30" s="192"/>
      <c r="AM30" s="192"/>
      <c r="AN30" s="192"/>
      <c r="AO30" s="192"/>
      <c r="AP30" s="192"/>
      <c r="AQ30" s="192"/>
      <c r="AS30" s="193"/>
    </row>
    <row r="31" spans="1:48" ht="9.9499999999999993" customHeight="1">
      <c r="F31" s="193"/>
      <c r="H31" s="192"/>
      <c r="AQ31" s="192"/>
      <c r="AS31" s="193"/>
    </row>
    <row r="32" spans="1:48" ht="9.9499999999999993" customHeight="1">
      <c r="F32" s="193"/>
      <c r="H32" s="192"/>
      <c r="AQ32" s="192"/>
      <c r="AS32" s="193"/>
    </row>
    <row r="33" spans="5:45" ht="9.9499999999999993" customHeight="1">
      <c r="F33" s="193"/>
      <c r="H33" s="192"/>
      <c r="X33" s="419" t="s">
        <v>197</v>
      </c>
      <c r="Y33" s="419"/>
      <c r="AQ33" s="192"/>
      <c r="AS33" s="193"/>
    </row>
    <row r="34" spans="5:45" ht="9.9499999999999993" customHeight="1">
      <c r="F34" s="193"/>
      <c r="H34" s="192"/>
      <c r="X34" s="419"/>
      <c r="Y34" s="419"/>
      <c r="AQ34" s="192"/>
      <c r="AS34" s="193"/>
    </row>
    <row r="35" spans="5:45" ht="3.95" customHeight="1">
      <c r="F35" s="193"/>
      <c r="H35" s="192"/>
      <c r="L35" s="193"/>
      <c r="M35" s="193"/>
      <c r="N35" s="193"/>
      <c r="O35" s="193"/>
      <c r="P35" s="193"/>
      <c r="Q35" s="193"/>
      <c r="R35" s="193"/>
      <c r="S35" s="193"/>
      <c r="T35" s="193"/>
      <c r="U35" s="193"/>
      <c r="V35" s="193"/>
      <c r="W35" s="193"/>
      <c r="X35" s="193"/>
      <c r="Y35" s="193"/>
      <c r="Z35" s="193"/>
      <c r="AA35" s="193"/>
      <c r="AB35" s="193"/>
      <c r="AC35" s="193"/>
      <c r="AD35" s="193"/>
      <c r="AE35" s="193"/>
      <c r="AF35" s="193"/>
      <c r="AG35" s="193"/>
      <c r="AH35" s="193"/>
      <c r="AI35" s="193"/>
      <c r="AJ35" s="193"/>
      <c r="AK35" s="193"/>
      <c r="AL35" s="193"/>
      <c r="AM35" s="193"/>
      <c r="AQ35" s="192"/>
      <c r="AS35" s="193"/>
    </row>
    <row r="36" spans="5:45" ht="3.95" customHeight="1">
      <c r="F36" s="193"/>
      <c r="H36" s="192"/>
      <c r="L36" s="193"/>
      <c r="AM36" s="193"/>
      <c r="AQ36" s="192"/>
      <c r="AS36" s="193"/>
    </row>
    <row r="37" spans="5:45" ht="9.9499999999999993" customHeight="1">
      <c r="F37" s="193"/>
      <c r="H37" s="192"/>
      <c r="L37" s="193"/>
      <c r="N37" s="192"/>
      <c r="O37" s="192"/>
      <c r="P37" s="192"/>
      <c r="Q37" s="192"/>
      <c r="R37" s="192"/>
      <c r="S37" s="192"/>
      <c r="T37" s="192"/>
      <c r="U37" s="192"/>
      <c r="V37" s="192"/>
      <c r="W37" s="192"/>
      <c r="X37" s="192"/>
      <c r="Y37" s="192"/>
      <c r="Z37" s="192"/>
      <c r="AA37" s="192"/>
      <c r="AB37" s="192"/>
      <c r="AC37" s="192"/>
      <c r="AD37" s="192"/>
      <c r="AE37" s="192"/>
      <c r="AF37" s="192"/>
      <c r="AG37" s="192"/>
      <c r="AH37" s="192"/>
      <c r="AI37" s="192"/>
      <c r="AJ37" s="192"/>
      <c r="AK37" s="192"/>
      <c r="AM37" s="193"/>
      <c r="AQ37" s="192"/>
      <c r="AS37" s="193"/>
    </row>
    <row r="38" spans="5:45" ht="3.95" customHeight="1">
      <c r="F38" s="193"/>
      <c r="H38" s="192"/>
      <c r="L38" s="193"/>
      <c r="N38" s="192"/>
      <c r="AK38" s="192"/>
      <c r="AM38" s="193"/>
      <c r="AQ38" s="192"/>
      <c r="AS38" s="193"/>
    </row>
    <row r="39" spans="5:45" ht="3.95" customHeight="1">
      <c r="F39" s="193"/>
      <c r="H39" s="192"/>
      <c r="L39" s="193"/>
      <c r="N39" s="192"/>
      <c r="P39" s="193"/>
      <c r="Q39" s="193"/>
      <c r="R39" s="193"/>
      <c r="S39" s="193"/>
      <c r="T39" s="193"/>
      <c r="U39" s="193"/>
      <c r="V39" s="193"/>
      <c r="W39" s="193"/>
      <c r="X39" s="193"/>
      <c r="Y39" s="193"/>
      <c r="Z39" s="193"/>
      <c r="AA39" s="193"/>
      <c r="AB39" s="193"/>
      <c r="AC39" s="193"/>
      <c r="AD39" s="193"/>
      <c r="AE39" s="193"/>
      <c r="AF39" s="193"/>
      <c r="AG39" s="193"/>
      <c r="AH39" s="193"/>
      <c r="AI39" s="193"/>
      <c r="AK39" s="192"/>
      <c r="AM39" s="193"/>
      <c r="AQ39" s="192"/>
      <c r="AS39" s="193"/>
    </row>
    <row r="40" spans="5:45" ht="3.95" customHeight="1">
      <c r="F40" s="193"/>
      <c r="H40" s="192"/>
      <c r="L40" s="193"/>
      <c r="N40" s="192"/>
      <c r="P40" s="193"/>
      <c r="AI40" s="193"/>
      <c r="AK40" s="192"/>
      <c r="AM40" s="193"/>
      <c r="AQ40" s="192"/>
      <c r="AS40" s="193"/>
    </row>
    <row r="41" spans="5:45" ht="9.9499999999999993" customHeight="1">
      <c r="F41" s="193"/>
      <c r="H41" s="192"/>
      <c r="L41" s="193"/>
      <c r="N41" s="192"/>
      <c r="P41" s="193"/>
      <c r="R41" s="192"/>
      <c r="S41" s="192"/>
      <c r="T41" s="192"/>
      <c r="U41" s="192"/>
      <c r="V41" s="192"/>
      <c r="W41" s="192"/>
      <c r="X41" s="192"/>
      <c r="Y41" s="192"/>
      <c r="Z41" s="192"/>
      <c r="AA41" s="192"/>
      <c r="AB41" s="192"/>
      <c r="AC41" s="192"/>
      <c r="AD41" s="192"/>
      <c r="AE41" s="192"/>
      <c r="AF41" s="192"/>
      <c r="AG41" s="192"/>
      <c r="AI41" s="193"/>
      <c r="AK41" s="192"/>
      <c r="AM41" s="193"/>
      <c r="AQ41" s="192"/>
      <c r="AS41" s="193"/>
    </row>
    <row r="42" spans="5:45" ht="3.95" customHeight="1">
      <c r="F42" s="193"/>
      <c r="H42" s="192"/>
      <c r="L42" s="193"/>
      <c r="N42" s="192"/>
      <c r="P42" s="193"/>
      <c r="R42" s="192"/>
      <c r="AG42" s="192"/>
      <c r="AI42" s="193"/>
      <c r="AK42" s="192"/>
      <c r="AM42" s="193"/>
      <c r="AQ42" s="192"/>
      <c r="AS42" s="193"/>
    </row>
    <row r="43" spans="5:45" ht="8.1" customHeight="1">
      <c r="F43" s="193"/>
      <c r="H43" s="192"/>
      <c r="L43" s="193"/>
      <c r="N43" s="192"/>
      <c r="P43" s="193"/>
      <c r="R43" s="192"/>
      <c r="T43" s="196"/>
      <c r="U43" s="196"/>
      <c r="V43" s="196"/>
      <c r="W43" s="196"/>
      <c r="X43" s="196"/>
      <c r="Y43" s="196"/>
      <c r="Z43" s="196"/>
      <c r="AA43" s="196"/>
      <c r="AB43" s="196"/>
      <c r="AC43" s="196"/>
      <c r="AD43" s="196"/>
      <c r="AE43" s="196"/>
      <c r="AG43" s="192"/>
      <c r="AI43" s="193"/>
      <c r="AK43" s="192"/>
      <c r="AM43" s="193"/>
      <c r="AQ43" s="192"/>
      <c r="AS43" s="193"/>
    </row>
    <row r="44" spans="5:45" ht="3.95" customHeight="1">
      <c r="F44" s="193"/>
      <c r="H44" s="192"/>
      <c r="L44" s="193"/>
      <c r="N44" s="192"/>
      <c r="P44" s="193"/>
      <c r="R44" s="192"/>
      <c r="T44" s="196"/>
      <c r="AE44" s="196"/>
      <c r="AG44" s="192"/>
      <c r="AI44" s="193"/>
      <c r="AK44" s="192"/>
      <c r="AM44" s="193"/>
      <c r="AQ44" s="192"/>
      <c r="AS44" s="193"/>
    </row>
    <row r="45" spans="5:45" ht="11.1" customHeight="1">
      <c r="F45" s="193"/>
      <c r="H45" s="192"/>
      <c r="L45" s="193"/>
      <c r="N45" s="192"/>
      <c r="P45" s="193"/>
      <c r="R45" s="192"/>
      <c r="T45" s="196"/>
      <c r="V45" s="194"/>
      <c r="W45" s="194"/>
      <c r="X45" s="194"/>
      <c r="Y45" s="194"/>
      <c r="Z45" s="421">
        <v>2</v>
      </c>
      <c r="AA45" s="421"/>
      <c r="AB45" s="194"/>
      <c r="AC45" s="194"/>
      <c r="AE45" s="196"/>
      <c r="AG45" s="192"/>
      <c r="AI45" s="193"/>
      <c r="AK45" s="192"/>
      <c r="AM45" s="193"/>
      <c r="AQ45" s="192"/>
      <c r="AS45" s="193"/>
    </row>
    <row r="46" spans="5:45" ht="3.95" customHeight="1">
      <c r="E46" s="203"/>
      <c r="F46" s="204"/>
      <c r="G46" s="203"/>
      <c r="H46" s="205"/>
      <c r="I46" s="203"/>
      <c r="J46" s="203"/>
      <c r="K46" s="203"/>
      <c r="L46" s="204"/>
      <c r="M46" s="203"/>
      <c r="N46" s="205"/>
      <c r="O46" s="203"/>
      <c r="P46" s="204"/>
      <c r="Q46" s="203"/>
      <c r="R46" s="205"/>
      <c r="S46" s="203"/>
      <c r="T46" s="206"/>
      <c r="U46" s="203"/>
      <c r="AE46" s="196"/>
      <c r="AG46" s="192"/>
      <c r="AI46" s="193"/>
      <c r="AK46" s="192"/>
      <c r="AM46" s="193"/>
      <c r="AQ46" s="192"/>
      <c r="AS46" s="193"/>
    </row>
    <row r="47" spans="5:45" ht="9.9499999999999993" customHeight="1">
      <c r="F47" s="193"/>
      <c r="H47" s="192"/>
      <c r="L47" s="193"/>
      <c r="N47" s="192"/>
      <c r="P47" s="193"/>
      <c r="R47" s="192"/>
      <c r="T47" s="196"/>
      <c r="V47" s="422"/>
      <c r="W47" s="422"/>
      <c r="X47" s="422"/>
      <c r="Y47" s="422"/>
      <c r="Z47" s="422"/>
      <c r="AA47" s="422"/>
      <c r="AB47" s="422"/>
      <c r="AC47" s="422"/>
      <c r="AE47" s="196"/>
      <c r="AG47" s="192"/>
      <c r="AI47" s="193"/>
      <c r="AK47" s="192"/>
      <c r="AM47" s="193"/>
      <c r="AQ47" s="192"/>
      <c r="AS47" s="193"/>
    </row>
    <row r="48" spans="5:45" ht="9.9499999999999993" customHeight="1">
      <c r="F48" s="193"/>
      <c r="H48" s="192"/>
      <c r="L48" s="193"/>
      <c r="N48" s="192"/>
      <c r="P48" s="193"/>
      <c r="R48" s="192"/>
      <c r="T48" s="196"/>
      <c r="V48" s="422"/>
      <c r="W48" s="422"/>
      <c r="X48" s="422"/>
      <c r="Y48" s="422"/>
      <c r="Z48" s="422"/>
      <c r="AA48" s="422"/>
      <c r="AB48" s="422"/>
      <c r="AC48" s="422"/>
      <c r="AE48" s="196"/>
      <c r="AG48" s="192"/>
      <c r="AI48" s="193"/>
      <c r="AK48" s="192"/>
      <c r="AM48" s="193"/>
      <c r="AQ48" s="192"/>
      <c r="AS48" s="193"/>
    </row>
    <row r="49" spans="4:45" ht="9.9499999999999993" customHeight="1">
      <c r="F49" s="193"/>
      <c r="H49" s="192"/>
      <c r="L49" s="193"/>
      <c r="N49" s="192"/>
      <c r="P49" s="193"/>
      <c r="R49" s="192"/>
      <c r="T49" s="196"/>
      <c r="V49" s="422"/>
      <c r="W49" s="422"/>
      <c r="X49" s="422"/>
      <c r="Y49" s="422"/>
      <c r="Z49" s="422"/>
      <c r="AA49" s="422"/>
      <c r="AB49" s="422"/>
      <c r="AC49" s="422"/>
      <c r="AE49" s="196"/>
      <c r="AG49" s="192"/>
      <c r="AI49" s="193"/>
      <c r="AK49" s="192"/>
      <c r="AM49" s="193"/>
      <c r="AQ49" s="192"/>
      <c r="AS49" s="193"/>
    </row>
    <row r="50" spans="4:45" ht="9.9499999999999993" customHeight="1">
      <c r="F50" s="193"/>
      <c r="H50" s="192"/>
      <c r="L50" s="193"/>
      <c r="N50" s="192"/>
      <c r="P50" s="193"/>
      <c r="R50" s="192"/>
      <c r="T50" s="196"/>
      <c r="V50" s="422"/>
      <c r="W50" s="422"/>
      <c r="X50" s="422"/>
      <c r="Y50" s="422"/>
      <c r="Z50" s="422"/>
      <c r="AA50" s="422"/>
      <c r="AB50" s="422"/>
      <c r="AC50" s="422"/>
      <c r="AE50" s="196"/>
      <c r="AG50" s="192"/>
      <c r="AI50" s="193"/>
      <c r="AK50" s="192"/>
      <c r="AM50" s="193"/>
      <c r="AQ50" s="192"/>
      <c r="AS50" s="193"/>
    </row>
    <row r="51" spans="4:45" ht="9.9499999999999993" customHeight="1">
      <c r="F51" s="193"/>
      <c r="H51" s="192"/>
      <c r="L51" s="193"/>
      <c r="N51" s="192"/>
      <c r="P51" s="193"/>
      <c r="R51" s="192"/>
      <c r="T51" s="196"/>
      <c r="V51" s="422"/>
      <c r="W51" s="422"/>
      <c r="X51" s="422"/>
      <c r="Y51" s="422"/>
      <c r="Z51" s="422"/>
      <c r="AA51" s="422"/>
      <c r="AB51" s="422"/>
      <c r="AC51" s="422"/>
      <c r="AE51" s="196"/>
      <c r="AG51" s="192"/>
      <c r="AI51" s="193"/>
      <c r="AK51" s="192"/>
      <c r="AM51" s="193"/>
      <c r="AQ51" s="192"/>
      <c r="AS51" s="193"/>
    </row>
    <row r="52" spans="4:45" ht="9.9499999999999993" customHeight="1">
      <c r="F52" s="193"/>
      <c r="H52" s="192"/>
      <c r="L52" s="193"/>
      <c r="N52" s="192"/>
      <c r="P52" s="193"/>
      <c r="R52" s="192"/>
      <c r="T52" s="196"/>
      <c r="V52" s="422"/>
      <c r="W52" s="422"/>
      <c r="X52" s="422"/>
      <c r="Y52" s="422"/>
      <c r="Z52" s="422"/>
      <c r="AA52" s="422"/>
      <c r="AB52" s="422"/>
      <c r="AC52" s="422"/>
      <c r="AE52" s="196"/>
      <c r="AG52" s="192"/>
      <c r="AI52" s="193"/>
      <c r="AK52" s="192"/>
      <c r="AM52" s="193"/>
      <c r="AQ52" s="192"/>
      <c r="AS52" s="193"/>
    </row>
    <row r="53" spans="4:45" ht="9.9499999999999993" customHeight="1">
      <c r="F53" s="193"/>
      <c r="H53" s="192"/>
      <c r="L53" s="193"/>
      <c r="N53" s="192"/>
      <c r="P53" s="193"/>
      <c r="R53" s="192"/>
      <c r="T53" s="196"/>
      <c r="V53" s="422"/>
      <c r="W53" s="422"/>
      <c r="X53" s="422"/>
      <c r="Y53" s="422"/>
      <c r="Z53" s="422"/>
      <c r="AA53" s="422"/>
      <c r="AB53" s="422"/>
      <c r="AC53" s="422"/>
      <c r="AE53" s="196"/>
      <c r="AG53" s="192"/>
      <c r="AI53" s="193"/>
      <c r="AK53" s="192"/>
      <c r="AM53" s="193"/>
      <c r="AQ53" s="192"/>
      <c r="AS53" s="193"/>
    </row>
    <row r="54" spans="4:45" ht="9.9499999999999993" customHeight="1">
      <c r="F54" s="193"/>
      <c r="H54" s="192"/>
      <c r="L54" s="193"/>
      <c r="N54" s="192"/>
      <c r="P54" s="193"/>
      <c r="R54" s="192"/>
      <c r="T54" s="196"/>
      <c r="V54" s="422"/>
      <c r="W54" s="422"/>
      <c r="X54" s="422"/>
      <c r="Y54" s="422"/>
      <c r="Z54" s="422"/>
      <c r="AA54" s="422"/>
      <c r="AB54" s="422"/>
      <c r="AC54" s="422"/>
      <c r="AE54" s="196"/>
      <c r="AG54" s="192"/>
      <c r="AI54" s="193"/>
      <c r="AK54" s="192"/>
      <c r="AM54" s="193"/>
      <c r="AQ54" s="192"/>
      <c r="AS54" s="193"/>
    </row>
    <row r="55" spans="4:45" ht="9.9499999999999993" customHeight="1">
      <c r="D55" s="425" t="s">
        <v>385</v>
      </c>
      <c r="E55" s="425" t="s">
        <v>384</v>
      </c>
      <c r="F55" s="193"/>
      <c r="H55" s="427" t="s">
        <v>406</v>
      </c>
      <c r="L55" s="193"/>
      <c r="N55" s="427">
        <v>2</v>
      </c>
      <c r="P55" s="193"/>
      <c r="R55" s="427">
        <v>1</v>
      </c>
      <c r="T55" s="196"/>
      <c r="V55" s="422"/>
      <c r="W55" s="422"/>
      <c r="X55" s="422"/>
      <c r="Y55" s="422"/>
      <c r="Z55" s="422"/>
      <c r="AA55" s="422"/>
      <c r="AB55" s="422"/>
      <c r="AC55" s="422"/>
      <c r="AE55" s="196"/>
      <c r="AG55" s="192"/>
      <c r="AI55" s="193"/>
      <c r="AK55" s="192"/>
      <c r="AM55" s="193"/>
      <c r="AN55" s="420" t="s">
        <v>379</v>
      </c>
      <c r="AO55" s="420"/>
      <c r="AQ55" s="192"/>
      <c r="AS55" s="193"/>
    </row>
    <row r="56" spans="4:45" ht="9.9499999999999993" customHeight="1">
      <c r="D56" s="425"/>
      <c r="E56" s="425"/>
      <c r="F56" s="193"/>
      <c r="H56" s="427"/>
      <c r="I56" s="423" t="s">
        <v>378</v>
      </c>
      <c r="J56" s="423"/>
      <c r="K56" s="423"/>
      <c r="L56" s="193"/>
      <c r="N56" s="427"/>
      <c r="P56" s="193"/>
      <c r="R56" s="427"/>
      <c r="T56" s="196"/>
      <c r="V56" s="422"/>
      <c r="W56" s="422"/>
      <c r="X56" s="422"/>
      <c r="Y56" s="422"/>
      <c r="Z56" s="422"/>
      <c r="AA56" s="422"/>
      <c r="AB56" s="422"/>
      <c r="AC56" s="422"/>
      <c r="AE56" s="196"/>
      <c r="AG56" s="192"/>
      <c r="AI56" s="193"/>
      <c r="AK56" s="192"/>
      <c r="AM56" s="193"/>
      <c r="AN56" s="420"/>
      <c r="AO56" s="420"/>
      <c r="AQ56" s="192"/>
      <c r="AS56" s="193"/>
    </row>
    <row r="57" spans="4:45" ht="9.9499999999999993" customHeight="1">
      <c r="D57" s="425"/>
      <c r="E57" s="425"/>
      <c r="F57" s="193"/>
      <c r="H57" s="427"/>
      <c r="L57" s="193"/>
      <c r="N57" s="427"/>
      <c r="P57" s="193"/>
      <c r="R57" s="427"/>
      <c r="T57" s="196"/>
      <c r="V57" s="422"/>
      <c r="W57" s="422"/>
      <c r="X57" s="422"/>
      <c r="Y57" s="422"/>
      <c r="Z57" s="422"/>
      <c r="AA57" s="422"/>
      <c r="AB57" s="422"/>
      <c r="AC57" s="422"/>
      <c r="AE57" s="196"/>
      <c r="AG57" s="192"/>
      <c r="AI57" s="193"/>
      <c r="AK57" s="192"/>
      <c r="AM57" s="193"/>
      <c r="AQ57" s="192"/>
      <c r="AS57" s="193"/>
    </row>
    <row r="58" spans="4:45" ht="9.9499999999999993" customHeight="1">
      <c r="F58" s="193"/>
      <c r="H58" s="192"/>
      <c r="L58" s="193"/>
      <c r="N58" s="192"/>
      <c r="P58" s="193"/>
      <c r="R58" s="192"/>
      <c r="T58" s="196"/>
      <c r="V58" s="422"/>
      <c r="W58" s="422"/>
      <c r="X58" s="422"/>
      <c r="Y58" s="422"/>
      <c r="Z58" s="422"/>
      <c r="AA58" s="422"/>
      <c r="AB58" s="422"/>
      <c r="AC58" s="422"/>
      <c r="AE58" s="196"/>
      <c r="AG58" s="192"/>
      <c r="AI58" s="193"/>
      <c r="AK58" s="192"/>
      <c r="AM58" s="193"/>
      <c r="AQ58" s="192"/>
      <c r="AS58" s="193"/>
    </row>
    <row r="59" spans="4:45" ht="9.9499999999999993" customHeight="1">
      <c r="F59" s="193"/>
      <c r="H59" s="192"/>
      <c r="L59" s="193"/>
      <c r="N59" s="192"/>
      <c r="P59" s="193"/>
      <c r="R59" s="192"/>
      <c r="T59" s="196"/>
      <c r="V59" s="422"/>
      <c r="W59" s="422"/>
      <c r="X59" s="422"/>
      <c r="Y59" s="422"/>
      <c r="Z59" s="422"/>
      <c r="AA59" s="422"/>
      <c r="AB59" s="422"/>
      <c r="AC59" s="422"/>
      <c r="AE59" s="196"/>
      <c r="AG59" s="192"/>
      <c r="AI59" s="193"/>
      <c r="AK59" s="192"/>
      <c r="AM59" s="193"/>
      <c r="AQ59" s="192"/>
      <c r="AS59" s="193"/>
    </row>
    <row r="60" spans="4:45" ht="9.9499999999999993" customHeight="1">
      <c r="F60" s="193"/>
      <c r="H60" s="192"/>
      <c r="L60" s="193"/>
      <c r="N60" s="192"/>
      <c r="P60" s="193"/>
      <c r="R60" s="192"/>
      <c r="T60" s="196"/>
      <c r="V60" s="422"/>
      <c r="W60" s="422"/>
      <c r="X60" s="422"/>
      <c r="Y60" s="422"/>
      <c r="Z60" s="422"/>
      <c r="AA60" s="422"/>
      <c r="AB60" s="422"/>
      <c r="AC60" s="422"/>
      <c r="AE60" s="196"/>
      <c r="AG60" s="192"/>
      <c r="AI60" s="193"/>
      <c r="AK60" s="192"/>
      <c r="AM60" s="193"/>
      <c r="AQ60" s="192"/>
      <c r="AS60" s="193"/>
    </row>
    <row r="61" spans="4:45" ht="9.9499999999999993" customHeight="1">
      <c r="F61" s="193"/>
      <c r="H61" s="192"/>
      <c r="L61" s="193"/>
      <c r="N61" s="192"/>
      <c r="P61" s="193"/>
      <c r="R61" s="192"/>
      <c r="T61" s="196"/>
      <c r="V61" s="422"/>
      <c r="W61" s="422"/>
      <c r="X61" s="422"/>
      <c r="Y61" s="422"/>
      <c r="Z61" s="422"/>
      <c r="AA61" s="422"/>
      <c r="AB61" s="422"/>
      <c r="AC61" s="422"/>
      <c r="AE61" s="196"/>
      <c r="AG61" s="192"/>
      <c r="AI61" s="193"/>
      <c r="AK61" s="192"/>
      <c r="AM61" s="193"/>
      <c r="AQ61" s="192"/>
      <c r="AS61" s="193"/>
    </row>
    <row r="62" spans="4:45" ht="9.9499999999999993" customHeight="1">
      <c r="F62" s="193"/>
      <c r="H62" s="192"/>
      <c r="L62" s="193"/>
      <c r="N62" s="192"/>
      <c r="P62" s="193"/>
      <c r="R62" s="192"/>
      <c r="T62" s="196"/>
      <c r="V62" s="422"/>
      <c r="W62" s="422"/>
      <c r="X62" s="422"/>
      <c r="Y62" s="422"/>
      <c r="Z62" s="422"/>
      <c r="AA62" s="422"/>
      <c r="AB62" s="422"/>
      <c r="AC62" s="422"/>
      <c r="AE62" s="196"/>
      <c r="AG62" s="192"/>
      <c r="AI62" s="193"/>
      <c r="AK62" s="192"/>
      <c r="AM62" s="193"/>
      <c r="AQ62" s="192"/>
      <c r="AS62" s="193"/>
    </row>
    <row r="63" spans="4:45" ht="9.9499999999999993" customHeight="1">
      <c r="F63" s="193"/>
      <c r="H63" s="192"/>
      <c r="L63" s="193"/>
      <c r="N63" s="192"/>
      <c r="P63" s="193"/>
      <c r="R63" s="192"/>
      <c r="T63" s="196"/>
      <c r="V63" s="422"/>
      <c r="W63" s="422"/>
      <c r="X63" s="422"/>
      <c r="Y63" s="422"/>
      <c r="Z63" s="422"/>
      <c r="AA63" s="422"/>
      <c r="AB63" s="422"/>
      <c r="AC63" s="422"/>
      <c r="AE63" s="196"/>
      <c r="AG63" s="192"/>
      <c r="AI63" s="193"/>
      <c r="AK63" s="192"/>
      <c r="AM63" s="193"/>
      <c r="AQ63" s="192"/>
      <c r="AS63" s="193"/>
    </row>
    <row r="64" spans="4:45" ht="9.9499999999999993" customHeight="1">
      <c r="F64" s="193"/>
      <c r="H64" s="192"/>
      <c r="L64" s="193"/>
      <c r="N64" s="192"/>
      <c r="P64" s="193"/>
      <c r="R64" s="192"/>
      <c r="T64" s="196"/>
      <c r="V64" s="422"/>
      <c r="W64" s="422"/>
      <c r="X64" s="422"/>
      <c r="Y64" s="422"/>
      <c r="Z64" s="422"/>
      <c r="AA64" s="422"/>
      <c r="AB64" s="422"/>
      <c r="AC64" s="422"/>
      <c r="AE64" s="196"/>
      <c r="AG64" s="192"/>
      <c r="AI64" s="193"/>
      <c r="AK64" s="192"/>
      <c r="AM64" s="193"/>
      <c r="AQ64" s="192"/>
      <c r="AS64" s="193"/>
    </row>
    <row r="65" spans="5:45" ht="9.9499999999999993" customHeight="1">
      <c r="E65" s="203"/>
      <c r="F65" s="204"/>
      <c r="G65" s="203"/>
      <c r="H65" s="205"/>
      <c r="I65" s="203"/>
      <c r="J65" s="203"/>
      <c r="K65" s="203"/>
      <c r="L65" s="204"/>
      <c r="M65" s="203"/>
      <c r="N65" s="205"/>
      <c r="O65" s="203"/>
      <c r="P65" s="204"/>
      <c r="Q65" s="203"/>
      <c r="R65" s="205"/>
      <c r="S65" s="203"/>
      <c r="T65" s="206"/>
      <c r="U65" s="203"/>
      <c r="V65" s="422"/>
      <c r="W65" s="422"/>
      <c r="X65" s="422"/>
      <c r="Y65" s="422"/>
      <c r="Z65" s="422"/>
      <c r="AA65" s="422"/>
      <c r="AB65" s="422"/>
      <c r="AC65" s="422"/>
      <c r="AE65" s="196"/>
      <c r="AG65" s="192"/>
      <c r="AI65" s="193"/>
      <c r="AK65" s="192"/>
      <c r="AM65" s="193"/>
      <c r="AQ65" s="192"/>
      <c r="AS65" s="193"/>
    </row>
    <row r="66" spans="5:45" ht="3.95" customHeight="1">
      <c r="F66" s="193"/>
      <c r="H66" s="192"/>
      <c r="L66" s="193"/>
      <c r="N66" s="192"/>
      <c r="P66" s="193"/>
      <c r="R66" s="192"/>
      <c r="T66" s="196"/>
      <c r="AE66" s="196"/>
      <c r="AG66" s="192"/>
      <c r="AI66" s="193"/>
      <c r="AK66" s="192"/>
      <c r="AM66" s="193"/>
      <c r="AQ66" s="192"/>
      <c r="AS66" s="193"/>
    </row>
    <row r="67" spans="5:45" ht="11.1" customHeight="1">
      <c r="F67" s="193"/>
      <c r="H67" s="192"/>
      <c r="L67" s="193"/>
      <c r="N67" s="192"/>
      <c r="P67" s="193"/>
      <c r="R67" s="192"/>
      <c r="T67" s="196"/>
      <c r="U67" s="198"/>
      <c r="V67" s="194"/>
      <c r="W67" s="194"/>
      <c r="X67" s="194"/>
      <c r="Y67" s="194"/>
      <c r="Z67" s="421">
        <v>2</v>
      </c>
      <c r="AA67" s="421"/>
      <c r="AB67" s="194"/>
      <c r="AC67" s="197"/>
      <c r="AE67" s="196"/>
      <c r="AG67" s="192"/>
      <c r="AI67" s="193"/>
      <c r="AK67" s="192"/>
      <c r="AM67" s="193"/>
      <c r="AQ67" s="192"/>
      <c r="AS67" s="193"/>
    </row>
    <row r="68" spans="5:45" ht="3.95" customHeight="1">
      <c r="F68" s="193"/>
      <c r="H68" s="192"/>
      <c r="L68" s="193"/>
      <c r="N68" s="192"/>
      <c r="P68" s="193"/>
      <c r="R68" s="192"/>
      <c r="T68" s="196"/>
      <c r="U68" s="198"/>
      <c r="AC68" s="198"/>
      <c r="AE68" s="196"/>
      <c r="AG68" s="192"/>
      <c r="AI68" s="193"/>
      <c r="AK68" s="192"/>
      <c r="AM68" s="193"/>
      <c r="AQ68" s="192"/>
      <c r="AS68" s="193"/>
    </row>
    <row r="69" spans="5:45" ht="8.1" customHeight="1">
      <c r="F69" s="193"/>
      <c r="H69" s="192"/>
      <c r="L69" s="193"/>
      <c r="N69" s="192"/>
      <c r="P69" s="193"/>
      <c r="R69" s="192"/>
      <c r="T69" s="196"/>
      <c r="U69" s="199"/>
      <c r="V69" s="196"/>
      <c r="W69" s="196"/>
      <c r="X69" s="196"/>
      <c r="Y69" s="196"/>
      <c r="Z69" s="196"/>
      <c r="AA69" s="196"/>
      <c r="AB69" s="196"/>
      <c r="AC69" s="199"/>
      <c r="AD69" s="196"/>
      <c r="AE69" s="196"/>
      <c r="AG69" s="192"/>
      <c r="AI69" s="193"/>
      <c r="AK69" s="192"/>
      <c r="AM69" s="193"/>
      <c r="AQ69" s="192"/>
      <c r="AS69" s="193"/>
    </row>
    <row r="70" spans="5:45" ht="3.95" customHeight="1">
      <c r="F70" s="193"/>
      <c r="H70" s="192"/>
      <c r="L70" s="193"/>
      <c r="N70" s="192"/>
      <c r="P70" s="193"/>
      <c r="R70" s="192"/>
      <c r="U70" s="198"/>
      <c r="AC70" s="198"/>
      <c r="AG70" s="192"/>
      <c r="AI70" s="193"/>
      <c r="AK70" s="192"/>
      <c r="AM70" s="193"/>
      <c r="AQ70" s="192"/>
      <c r="AS70" s="193"/>
    </row>
    <row r="71" spans="5:45" ht="9.9499999999999993" customHeight="1">
      <c r="F71" s="193"/>
      <c r="H71" s="192"/>
      <c r="L71" s="193"/>
      <c r="N71" s="192"/>
      <c r="P71" s="193"/>
      <c r="R71" s="192"/>
      <c r="S71" s="192"/>
      <c r="T71" s="192"/>
      <c r="U71" s="200"/>
      <c r="V71" s="192"/>
      <c r="W71" s="192"/>
      <c r="X71" s="192"/>
      <c r="Y71" s="192"/>
      <c r="Z71" s="192"/>
      <c r="AA71" s="192"/>
      <c r="AB71" s="192"/>
      <c r="AC71" s="200"/>
      <c r="AD71" s="192"/>
      <c r="AE71" s="192"/>
      <c r="AF71" s="192"/>
      <c r="AG71" s="192"/>
      <c r="AI71" s="193"/>
      <c r="AK71" s="192"/>
      <c r="AM71" s="193"/>
      <c r="AQ71" s="192"/>
      <c r="AS71" s="193"/>
    </row>
    <row r="72" spans="5:45" ht="3.95" customHeight="1">
      <c r="F72" s="193"/>
      <c r="H72" s="192"/>
      <c r="L72" s="193"/>
      <c r="N72" s="192"/>
      <c r="P72" s="193"/>
      <c r="U72" s="198"/>
      <c r="AC72" s="198"/>
      <c r="AI72" s="193"/>
      <c r="AK72" s="192"/>
      <c r="AM72" s="193"/>
      <c r="AQ72" s="192"/>
      <c r="AS72" s="193"/>
    </row>
    <row r="73" spans="5:45" ht="3.95" customHeight="1">
      <c r="F73" s="193"/>
      <c r="H73" s="192"/>
      <c r="L73" s="193"/>
      <c r="N73" s="192"/>
      <c r="P73" s="193"/>
      <c r="Q73" s="193"/>
      <c r="R73" s="193"/>
      <c r="S73" s="193"/>
      <c r="T73" s="193"/>
      <c r="U73" s="201"/>
      <c r="V73" s="193"/>
      <c r="W73" s="193"/>
      <c r="X73" s="193"/>
      <c r="Y73" s="193"/>
      <c r="Z73" s="193"/>
      <c r="AA73" s="193"/>
      <c r="AB73" s="193"/>
      <c r="AC73" s="201"/>
      <c r="AD73" s="193"/>
      <c r="AE73" s="193"/>
      <c r="AF73" s="193"/>
      <c r="AG73" s="193"/>
      <c r="AH73" s="193"/>
      <c r="AI73" s="193"/>
      <c r="AK73" s="192"/>
      <c r="AM73" s="193"/>
      <c r="AQ73" s="192"/>
      <c r="AS73" s="193"/>
    </row>
    <row r="74" spans="5:45" ht="3.95" customHeight="1">
      <c r="F74" s="193"/>
      <c r="H74" s="192"/>
      <c r="L74" s="193"/>
      <c r="N74" s="192"/>
      <c r="U74" s="198"/>
      <c r="AC74" s="198"/>
      <c r="AK74" s="192"/>
      <c r="AM74" s="193"/>
      <c r="AQ74" s="192"/>
      <c r="AS74" s="193"/>
    </row>
    <row r="75" spans="5:45" ht="9.9499999999999993" customHeight="1">
      <c r="F75" s="193"/>
      <c r="H75" s="192"/>
      <c r="L75" s="193"/>
      <c r="N75" s="192"/>
      <c r="O75" s="192"/>
      <c r="P75" s="192"/>
      <c r="Q75" s="192"/>
      <c r="R75" s="192"/>
      <c r="S75" s="192"/>
      <c r="T75" s="192"/>
      <c r="U75" s="200"/>
      <c r="V75" s="192"/>
      <c r="W75" s="192"/>
      <c r="X75" s="192"/>
      <c r="Y75" s="192"/>
      <c r="Z75" s="192"/>
      <c r="AA75" s="192"/>
      <c r="AB75" s="192"/>
      <c r="AC75" s="200"/>
      <c r="AD75" s="192"/>
      <c r="AE75" s="192"/>
      <c r="AF75" s="192"/>
      <c r="AG75" s="192"/>
      <c r="AH75" s="192"/>
      <c r="AI75" s="192"/>
      <c r="AJ75" s="192"/>
      <c r="AK75" s="192"/>
      <c r="AM75" s="193"/>
      <c r="AQ75" s="192"/>
      <c r="AS75" s="193"/>
    </row>
    <row r="76" spans="5:45" ht="3.95" customHeight="1">
      <c r="F76" s="193"/>
      <c r="H76" s="192"/>
      <c r="L76" s="193"/>
      <c r="U76" s="198"/>
      <c r="AC76" s="198"/>
      <c r="AM76" s="193"/>
      <c r="AQ76" s="192"/>
      <c r="AS76" s="193"/>
    </row>
    <row r="77" spans="5:45" ht="3.95" customHeight="1">
      <c r="F77" s="193"/>
      <c r="H77" s="192"/>
      <c r="L77" s="193"/>
      <c r="M77" s="193"/>
      <c r="N77" s="193"/>
      <c r="O77" s="193"/>
      <c r="P77" s="193"/>
      <c r="Q77" s="193"/>
      <c r="R77" s="193"/>
      <c r="S77" s="193"/>
      <c r="T77" s="193"/>
      <c r="U77" s="201"/>
      <c r="V77" s="193"/>
      <c r="W77" s="193"/>
      <c r="X77" s="193"/>
      <c r="Y77" s="193"/>
      <c r="Z77" s="193"/>
      <c r="AA77" s="193"/>
      <c r="AB77" s="193"/>
      <c r="AC77" s="201"/>
      <c r="AD77" s="193"/>
      <c r="AE77" s="193"/>
      <c r="AF77" s="193"/>
      <c r="AG77" s="193"/>
      <c r="AH77" s="193"/>
      <c r="AI77" s="193"/>
      <c r="AJ77" s="193"/>
      <c r="AK77" s="193"/>
      <c r="AL77" s="193"/>
      <c r="AM77" s="193"/>
      <c r="AQ77" s="192"/>
      <c r="AS77" s="193"/>
    </row>
    <row r="78" spans="5:45" ht="9.9499999999999993" customHeight="1">
      <c r="F78" s="193"/>
      <c r="H78" s="192"/>
      <c r="U78" s="198"/>
      <c r="Y78" s="424" t="s">
        <v>378</v>
      </c>
      <c r="Z78" s="424"/>
      <c r="AC78" s="198"/>
      <c r="AQ78" s="192"/>
      <c r="AS78" s="193"/>
    </row>
    <row r="79" spans="5:45" ht="9.9499999999999993" customHeight="1">
      <c r="F79" s="193"/>
      <c r="H79" s="192"/>
      <c r="U79" s="198"/>
      <c r="Y79" s="424"/>
      <c r="Z79" s="424"/>
      <c r="AC79" s="198"/>
      <c r="AQ79" s="192"/>
      <c r="AS79" s="193"/>
    </row>
    <row r="80" spans="5:45" ht="9.9499999999999993" customHeight="1">
      <c r="F80" s="193"/>
      <c r="H80" s="192"/>
      <c r="U80" s="198"/>
      <c r="Y80" s="424"/>
      <c r="Z80" s="424"/>
      <c r="AC80" s="198"/>
      <c r="AQ80" s="192"/>
      <c r="AS80" s="193"/>
    </row>
    <row r="81" spans="1:45" ht="9.9499999999999993" customHeight="1">
      <c r="F81" s="193"/>
      <c r="H81" s="192"/>
      <c r="U81" s="198"/>
      <c r="Y81" s="424"/>
      <c r="Z81" s="424"/>
      <c r="AC81" s="198"/>
      <c r="AQ81" s="192"/>
      <c r="AS81" s="193"/>
    </row>
    <row r="82" spans="1:45" ht="9.9499999999999993" customHeight="1">
      <c r="F82" s="193"/>
      <c r="H82" s="192"/>
      <c r="I82" s="192"/>
      <c r="J82" s="192"/>
      <c r="K82" s="192"/>
      <c r="L82" s="192"/>
      <c r="M82" s="192"/>
      <c r="N82" s="192"/>
      <c r="O82" s="192"/>
      <c r="P82" s="192"/>
      <c r="Q82" s="192"/>
      <c r="R82" s="192"/>
      <c r="S82" s="192"/>
      <c r="T82" s="192"/>
      <c r="U82" s="200"/>
      <c r="V82" s="192"/>
      <c r="W82" s="192"/>
      <c r="X82" s="192"/>
      <c r="Y82" s="192"/>
      <c r="Z82" s="192"/>
      <c r="AA82" s="192"/>
      <c r="AB82" s="192"/>
      <c r="AC82" s="200"/>
      <c r="AD82" s="192"/>
      <c r="AE82" s="192"/>
      <c r="AF82" s="192"/>
      <c r="AG82" s="192"/>
      <c r="AH82" s="192"/>
      <c r="AI82" s="192"/>
      <c r="AJ82" s="192"/>
      <c r="AK82" s="192"/>
      <c r="AL82" s="192"/>
      <c r="AM82" s="192"/>
      <c r="AN82" s="192"/>
      <c r="AO82" s="192"/>
      <c r="AP82" s="192"/>
      <c r="AQ82" s="192"/>
      <c r="AS82" s="193"/>
    </row>
    <row r="83" spans="1:45" ht="3.95" customHeight="1">
      <c r="F83" s="193"/>
      <c r="U83" s="198"/>
      <c r="AC83" s="198"/>
      <c r="AS83" s="193"/>
    </row>
    <row r="84" spans="1:45" ht="3.95" customHeight="1">
      <c r="B84" s="193"/>
      <c r="C84" s="193"/>
      <c r="D84" s="204"/>
      <c r="E84" s="204"/>
      <c r="F84" s="193"/>
      <c r="G84" s="193"/>
      <c r="H84" s="193"/>
      <c r="I84" s="193"/>
      <c r="J84" s="193"/>
      <c r="K84" s="193"/>
      <c r="L84" s="193"/>
      <c r="M84" s="193"/>
      <c r="N84" s="193"/>
      <c r="O84" s="193"/>
      <c r="P84" s="193"/>
      <c r="Q84" s="193"/>
      <c r="R84" s="193"/>
      <c r="S84" s="193"/>
      <c r="T84" s="193"/>
      <c r="U84" s="201"/>
      <c r="V84" s="193"/>
      <c r="W84" s="193"/>
      <c r="X84" s="193"/>
      <c r="Y84" s="193"/>
      <c r="Z84" s="193"/>
      <c r="AA84" s="193"/>
      <c r="AB84" s="193"/>
      <c r="AC84" s="201"/>
      <c r="AD84" s="193"/>
      <c r="AE84" s="193"/>
      <c r="AF84" s="193"/>
      <c r="AG84" s="193"/>
      <c r="AH84" s="193"/>
      <c r="AI84" s="193"/>
      <c r="AJ84" s="193"/>
      <c r="AK84" s="193"/>
      <c r="AL84" s="193"/>
      <c r="AM84" s="193"/>
      <c r="AN84" s="193"/>
      <c r="AO84" s="193"/>
      <c r="AP84" s="193"/>
      <c r="AQ84" s="193"/>
      <c r="AR84" s="193"/>
      <c r="AS84" s="193"/>
    </row>
    <row r="85" spans="1:45" ht="9.9499999999999993" customHeight="1">
      <c r="E85" s="198"/>
      <c r="U85" s="198"/>
      <c r="AC85" s="198"/>
      <c r="AS85" s="198"/>
    </row>
    <row r="86" spans="1:45" ht="15.95" customHeight="1">
      <c r="A86" s="207" t="s">
        <v>413</v>
      </c>
      <c r="E86" s="198"/>
      <c r="U86" s="198"/>
      <c r="Y86" s="426" t="s">
        <v>386</v>
      </c>
      <c r="Z86" s="426"/>
      <c r="AC86" s="198"/>
      <c r="AS86" s="198"/>
    </row>
    <row r="87" spans="1:45" ht="15.95" customHeight="1">
      <c r="E87" s="202" t="s">
        <v>381</v>
      </c>
      <c r="R87" s="202" t="s">
        <v>382</v>
      </c>
      <c r="U87" s="198"/>
      <c r="AB87" s="202" t="s">
        <v>387</v>
      </c>
      <c r="AC87" s="198"/>
      <c r="AQ87" s="202" t="s">
        <v>383</v>
      </c>
      <c r="AR87" s="198"/>
      <c r="AS87" s="198"/>
    </row>
    <row r="88" spans="1:45" ht="15.95" customHeight="1">
      <c r="A88" s="210" t="s">
        <v>498</v>
      </c>
      <c r="E88" s="198"/>
      <c r="Y88" s="426" t="s">
        <v>388</v>
      </c>
      <c r="Z88" s="426"/>
      <c r="AS88" s="198"/>
    </row>
    <row r="89" spans="1:45" ht="15.95" customHeight="1"/>
    <row r="90" spans="1:45" ht="15.95" customHeight="1"/>
    <row r="91" spans="1:45" ht="15.95" customHeight="1"/>
    <row r="92" spans="1:45" ht="15.95" customHeight="1"/>
    <row r="93" spans="1:45" ht="15.95" customHeight="1"/>
    <row r="94" spans="1:45" ht="15.95" customHeight="1"/>
    <row r="95" spans="1:45" ht="15.95" customHeight="1"/>
    <row r="96" spans="1:45" ht="15.95" customHeight="1"/>
    <row r="97" ht="15.95" customHeight="1"/>
    <row r="98" ht="15.95" customHeight="1"/>
    <row r="99" ht="15.95" customHeight="1"/>
    <row r="100" ht="15.95" customHeight="1"/>
    <row r="101" ht="15.95" customHeight="1"/>
    <row r="102" ht="15.95" customHeight="1"/>
    <row r="103" ht="15.95" customHeight="1"/>
    <row r="104" ht="15.95" customHeight="1"/>
    <row r="105" ht="15.95" customHeight="1"/>
    <row r="106" ht="15.95" customHeight="1"/>
    <row r="107" ht="15.95" customHeight="1"/>
    <row r="108" ht="15.95" customHeight="1"/>
    <row r="109" ht="15.95" customHeight="1"/>
    <row r="110" ht="15.95" customHeight="1"/>
    <row r="111" ht="15.95" customHeight="1"/>
    <row r="112" ht="15.95" customHeight="1"/>
    <row r="113" ht="15.95" customHeight="1"/>
    <row r="114" ht="15.95" customHeight="1"/>
    <row r="115" ht="15.95" customHeight="1"/>
    <row r="116" ht="15.95" customHeight="1"/>
    <row r="117" ht="15.95" customHeight="1"/>
    <row r="118" ht="15.95" customHeight="1"/>
    <row r="119" ht="15.95" customHeight="1"/>
    <row r="120" ht="15.95" customHeight="1"/>
    <row r="121" ht="15.95" customHeight="1"/>
    <row r="122" ht="15.95" customHeight="1"/>
    <row r="123" ht="15.95" customHeight="1"/>
    <row r="124" ht="15.95" customHeight="1"/>
    <row r="125" ht="15.95" customHeight="1"/>
    <row r="126" ht="15.95" customHeight="1"/>
    <row r="127" ht="15.95" customHeight="1"/>
    <row r="128" ht="15.95" customHeight="1"/>
    <row r="129" ht="15.95" customHeight="1"/>
    <row r="130" ht="15.95" customHeight="1"/>
    <row r="131" ht="15.95" customHeight="1"/>
    <row r="132" ht="15.95" customHeight="1"/>
    <row r="133" ht="15.95" customHeight="1"/>
    <row r="134" ht="15.95" customHeight="1"/>
    <row r="135" ht="15.95" customHeight="1"/>
    <row r="136" ht="15.95" customHeight="1"/>
    <row r="137" ht="15.95" customHeight="1"/>
    <row r="138" ht="15.95" customHeight="1"/>
    <row r="139" ht="15.95" customHeight="1"/>
    <row r="140" ht="15.95" customHeight="1"/>
    <row r="141" ht="15.95" customHeight="1"/>
    <row r="142" ht="15.95" customHeight="1"/>
    <row r="143" ht="15.95" customHeight="1"/>
    <row r="144" ht="15.95" customHeight="1"/>
    <row r="145" ht="15.95" customHeight="1"/>
    <row r="146" ht="15.95" customHeight="1"/>
    <row r="147" ht="15.95" customHeight="1"/>
    <row r="148" ht="15.95" customHeight="1"/>
    <row r="149" ht="15.95" customHeight="1"/>
    <row r="150" ht="15.95" customHeight="1"/>
    <row r="151" ht="15.95" customHeight="1"/>
    <row r="152" ht="15.95" customHeight="1"/>
    <row r="153" ht="15.95" customHeight="1"/>
    <row r="154" ht="15.95" customHeight="1"/>
    <row r="155" ht="15.95" customHeight="1"/>
    <row r="156" ht="15.95" customHeight="1"/>
    <row r="157" ht="15.95" customHeight="1"/>
    <row r="158" ht="15.95" customHeight="1"/>
    <row r="159" ht="15.95" customHeight="1"/>
    <row r="160" ht="15.95" customHeight="1"/>
    <row r="161" ht="15.95" customHeight="1"/>
    <row r="162" ht="15.95" customHeight="1"/>
    <row r="163" ht="15.95" customHeight="1"/>
    <row r="164" ht="15.95" customHeight="1"/>
    <row r="165" ht="15.95" customHeight="1"/>
    <row r="166" ht="15.95" customHeight="1"/>
    <row r="167" ht="15.95" customHeight="1"/>
    <row r="168" ht="15.95" customHeight="1"/>
    <row r="169" ht="15.95" customHeight="1"/>
    <row r="170" ht="15.95" customHeight="1"/>
    <row r="171" ht="15.95" customHeight="1"/>
    <row r="172" ht="15.95" customHeight="1"/>
    <row r="173" ht="15.95" customHeight="1"/>
    <row r="174" ht="15.95" customHeight="1"/>
    <row r="175" ht="15.95" customHeight="1"/>
    <row r="176" ht="15.95" customHeight="1"/>
    <row r="177" ht="15.95" customHeight="1"/>
    <row r="178" ht="15.95" customHeight="1"/>
    <row r="179" ht="15.95" customHeight="1"/>
    <row r="180" ht="15.95" customHeight="1"/>
    <row r="181" ht="15.95" customHeight="1"/>
    <row r="182" ht="15.95" customHeight="1"/>
    <row r="183" ht="15.95" customHeight="1"/>
    <row r="184" ht="15.95" customHeight="1"/>
    <row r="185" ht="15.95" customHeight="1"/>
    <row r="186" ht="15.95" customHeight="1"/>
    <row r="187" ht="15.95" customHeight="1"/>
    <row r="188" ht="15.95" customHeight="1"/>
    <row r="189" ht="15.95" customHeight="1"/>
    <row r="190" ht="15.95" customHeight="1"/>
    <row r="191" ht="15.95" customHeight="1"/>
    <row r="192" ht="15.95" customHeight="1"/>
    <row r="193" ht="15.95" customHeight="1"/>
    <row r="194" ht="15.95" customHeight="1"/>
    <row r="195" ht="15.95" customHeight="1"/>
    <row r="196" ht="15.95" customHeight="1"/>
    <row r="197" ht="15.95" customHeight="1"/>
    <row r="198" ht="15.95" customHeight="1"/>
    <row r="199" ht="15.95" customHeight="1"/>
    <row r="200" ht="15.95" customHeight="1"/>
    <row r="201" ht="15.95" customHeight="1"/>
    <row r="202" ht="15.95" customHeight="1"/>
    <row r="203" ht="15.95" customHeight="1"/>
    <row r="204" ht="15.95" customHeight="1"/>
    <row r="205" ht="15.95" customHeight="1"/>
    <row r="206" ht="15.95" customHeight="1"/>
    <row r="207" ht="15.95" customHeight="1"/>
    <row r="208" ht="15.95" customHeight="1"/>
    <row r="209" ht="15.95" customHeight="1"/>
    <row r="210" ht="15.95" customHeight="1"/>
    <row r="211" ht="15.95" customHeight="1"/>
    <row r="212" ht="15.95" customHeight="1"/>
    <row r="213" ht="15.95" customHeight="1"/>
    <row r="214" ht="15.95" customHeight="1"/>
    <row r="215" ht="15.95" customHeight="1"/>
    <row r="216" ht="15.95" customHeight="1"/>
    <row r="217" ht="15.95" customHeight="1"/>
    <row r="218" ht="15.95" customHeight="1"/>
    <row r="219" ht="15.95" customHeight="1"/>
    <row r="220" ht="15.95" customHeight="1"/>
    <row r="221" ht="15.95" customHeight="1"/>
    <row r="222" ht="15.95" customHeight="1"/>
    <row r="223" ht="15.95" customHeight="1"/>
    <row r="224" ht="15.95" customHeight="1"/>
    <row r="225" ht="15.95" customHeight="1"/>
    <row r="226" ht="15.95" customHeight="1"/>
    <row r="227" ht="15.95" customHeight="1"/>
    <row r="228" ht="15.95" customHeight="1"/>
    <row r="229" ht="15.95" customHeight="1"/>
    <row r="230" ht="15.95" customHeight="1"/>
    <row r="231" ht="15.95" customHeight="1"/>
    <row r="232" ht="15.95" customHeight="1"/>
    <row r="233" ht="15.95" customHeight="1"/>
    <row r="234" ht="15.95" customHeight="1"/>
    <row r="235" ht="15.95" customHeight="1"/>
    <row r="236" ht="15.95" customHeight="1"/>
    <row r="237" ht="15.95" customHeight="1"/>
    <row r="238" ht="15.95" customHeight="1"/>
    <row r="239" ht="15.95" customHeight="1"/>
    <row r="240" ht="15.95" customHeight="1"/>
    <row r="241" ht="15.95" customHeight="1"/>
    <row r="242" ht="15.95" customHeight="1"/>
    <row r="243" ht="15.95" customHeight="1"/>
    <row r="244" ht="15.95" customHeight="1"/>
    <row r="245" ht="15.95" customHeight="1"/>
    <row r="246" ht="15.95" customHeight="1"/>
    <row r="247" ht="15.95" customHeight="1"/>
    <row r="248" ht="15.95" customHeight="1"/>
    <row r="249" ht="15.95" customHeight="1"/>
    <row r="250" ht="15.95" customHeight="1"/>
    <row r="251" ht="15.95" customHeight="1"/>
    <row r="252" ht="15.95" customHeight="1"/>
    <row r="253" ht="15.95" customHeight="1"/>
    <row r="254" ht="15.95" customHeight="1"/>
    <row r="255" ht="15.95" customHeight="1"/>
    <row r="256" ht="15.95" customHeight="1"/>
    <row r="257" ht="15.95" customHeight="1"/>
    <row r="258" ht="15.95" customHeight="1"/>
    <row r="259" ht="15.95" customHeight="1"/>
    <row r="260" ht="15.95" customHeight="1"/>
    <row r="261" ht="15.95" customHeight="1"/>
    <row r="262" ht="15.95" customHeight="1"/>
    <row r="263" ht="15.95" customHeight="1"/>
    <row r="264" ht="15.95" customHeight="1"/>
    <row r="265" ht="15.95" customHeight="1"/>
    <row r="266" ht="15.95" customHeight="1"/>
    <row r="267" ht="15.95" customHeight="1"/>
    <row r="268" ht="15.95" customHeight="1"/>
    <row r="269" ht="15.95" customHeight="1"/>
    <row r="270" ht="15.95" customHeight="1"/>
    <row r="271" ht="15.95" customHeight="1"/>
    <row r="272" ht="15.95" customHeight="1"/>
    <row r="273" ht="15.95" customHeight="1"/>
    <row r="274" ht="15.95" customHeight="1"/>
    <row r="275" ht="15.95" customHeight="1"/>
    <row r="276" ht="15.95" customHeight="1"/>
    <row r="277" ht="15.95" customHeight="1"/>
    <row r="278" ht="15.95" customHeight="1"/>
    <row r="279" ht="15.95" customHeight="1"/>
    <row r="280" ht="15.95" customHeight="1"/>
    <row r="281" ht="15.95" customHeight="1"/>
    <row r="282" ht="15.95" customHeight="1"/>
    <row r="283" ht="15.95" customHeight="1"/>
    <row r="284" ht="15.95" customHeight="1"/>
    <row r="285" ht="15.95" customHeight="1"/>
    <row r="286" ht="15.95" customHeight="1"/>
    <row r="287" ht="15.95" customHeight="1"/>
    <row r="288" ht="15.95" customHeight="1"/>
    <row r="289" ht="15.95" customHeight="1"/>
    <row r="290" ht="15.95" customHeight="1"/>
    <row r="291" ht="15.95" customHeight="1"/>
    <row r="292" ht="15.95" customHeight="1"/>
    <row r="293" ht="15.95" customHeight="1"/>
    <row r="294" ht="15.95" customHeight="1"/>
    <row r="295" ht="15.95" customHeight="1"/>
    <row r="296" ht="15.95" customHeight="1"/>
    <row r="297" ht="15.95" customHeight="1"/>
    <row r="298" ht="15.95" customHeight="1"/>
    <row r="299" ht="15.95" customHeight="1"/>
    <row r="300" ht="15.95" customHeight="1"/>
    <row r="301" ht="15.95" customHeight="1"/>
    <row r="302" ht="15.95" customHeight="1"/>
    <row r="303" ht="15.95" customHeight="1"/>
    <row r="304" ht="15.95" customHeight="1"/>
    <row r="305" ht="15.95" customHeight="1"/>
    <row r="306" ht="15.95" customHeight="1"/>
    <row r="307" ht="15.95" customHeight="1"/>
    <row r="308" ht="15.95" customHeight="1"/>
    <row r="309" ht="15.95" customHeight="1"/>
    <row r="310" ht="15.95" customHeight="1"/>
    <row r="311" ht="15.95" customHeight="1"/>
    <row r="312" ht="15.95" customHeight="1"/>
    <row r="313" ht="15.95" customHeight="1"/>
    <row r="314" ht="15.95" customHeight="1"/>
    <row r="315" ht="15.95" customHeight="1"/>
    <row r="316" ht="15.95" customHeight="1"/>
    <row r="317" ht="15.95" customHeight="1"/>
    <row r="318" ht="15.95" customHeight="1"/>
    <row r="319" ht="15.95" customHeight="1"/>
    <row r="320" ht="15.95" customHeight="1"/>
    <row r="321" ht="15.95" customHeight="1"/>
    <row r="322" ht="15.95" customHeight="1"/>
    <row r="323" ht="15.95" customHeight="1"/>
    <row r="324" ht="15.95" customHeight="1"/>
    <row r="325" ht="15.95" customHeight="1"/>
    <row r="326" ht="15.95" customHeight="1"/>
    <row r="327" ht="15.95" customHeight="1"/>
    <row r="328" ht="15.95" customHeight="1"/>
    <row r="329" ht="15.95" customHeight="1"/>
    <row r="330" ht="15.95" customHeight="1"/>
    <row r="331" ht="15.95" customHeight="1"/>
    <row r="332" ht="15.95" customHeight="1"/>
    <row r="333" ht="15.95" customHeight="1"/>
    <row r="334" ht="15.95" customHeight="1"/>
    <row r="335" ht="15.95" customHeight="1"/>
    <row r="336" ht="15.95" customHeight="1"/>
    <row r="337" ht="15.95" customHeight="1"/>
    <row r="338" ht="15.95" customHeight="1"/>
    <row r="339" ht="15.95" customHeight="1"/>
    <row r="340" ht="15.95" customHeight="1"/>
    <row r="341" ht="15.95" customHeight="1"/>
    <row r="342" ht="15.95" customHeight="1"/>
    <row r="343" ht="15.95" customHeight="1"/>
    <row r="344" ht="15.95" customHeight="1"/>
    <row r="345" ht="15.95" customHeight="1"/>
    <row r="346" ht="15.95" customHeight="1"/>
    <row r="347" ht="15.95" customHeight="1"/>
    <row r="348" ht="15.95" customHeight="1"/>
    <row r="349" ht="15.95" customHeight="1"/>
    <row r="350" ht="15.95" customHeight="1"/>
    <row r="351" ht="15.95" customHeight="1"/>
    <row r="352" ht="15.95" customHeight="1"/>
    <row r="353" ht="15.95" customHeight="1"/>
    <row r="354" ht="15.95" customHeight="1"/>
    <row r="355" ht="15.95" customHeight="1"/>
    <row r="356" ht="15.95" customHeight="1"/>
    <row r="357" ht="15.95" customHeight="1"/>
    <row r="358" ht="15.95" customHeight="1"/>
    <row r="359" ht="15.95" customHeight="1"/>
    <row r="360" ht="15.95" customHeight="1"/>
    <row r="361" ht="15.95" customHeight="1"/>
    <row r="362" ht="15.95" customHeight="1"/>
    <row r="363" ht="15.95" customHeight="1"/>
    <row r="364" ht="15.95" customHeight="1"/>
    <row r="365" ht="15.95" customHeight="1"/>
    <row r="366" ht="15.95" customHeight="1"/>
    <row r="367" ht="15.95" customHeight="1"/>
    <row r="368" ht="15.95" customHeight="1"/>
    <row r="369" ht="15.95" customHeight="1"/>
    <row r="370" ht="15.95" customHeight="1"/>
    <row r="371" ht="15.95" customHeight="1"/>
    <row r="372" ht="15.95" customHeight="1"/>
    <row r="373" ht="15.95" customHeight="1"/>
    <row r="374" ht="15.95" customHeight="1"/>
    <row r="375" ht="15.95" customHeight="1"/>
    <row r="376" ht="15.95" customHeight="1"/>
    <row r="377" ht="15.95" customHeight="1"/>
    <row r="378" ht="15.95" customHeight="1"/>
    <row r="379" ht="15.95" customHeight="1"/>
    <row r="380" ht="15.95" customHeight="1"/>
    <row r="381" ht="15.95" customHeight="1"/>
    <row r="382" ht="15.95" customHeight="1"/>
    <row r="383" ht="15.95" customHeight="1"/>
    <row r="384" ht="15.95" customHeight="1"/>
    <row r="385" ht="15.95" customHeight="1"/>
    <row r="386" ht="15.95" customHeight="1"/>
    <row r="387" ht="15.95" customHeight="1"/>
    <row r="388" ht="15.95" customHeight="1"/>
    <row r="389" ht="15.95" customHeight="1"/>
    <row r="390" ht="15.95" customHeight="1"/>
    <row r="391" ht="15.95" customHeight="1"/>
    <row r="392" ht="15.95" customHeight="1"/>
    <row r="393" ht="15.95" customHeight="1"/>
    <row r="394" ht="15.95" customHeight="1"/>
    <row r="395" ht="15.95" customHeight="1"/>
    <row r="396" ht="15.95" customHeight="1"/>
    <row r="397" ht="15.95" customHeight="1"/>
    <row r="398" ht="15.95" customHeight="1"/>
    <row r="399" ht="15.95" customHeight="1"/>
    <row r="400" ht="15.95" customHeight="1"/>
    <row r="401" ht="15.95" customHeight="1"/>
    <row r="402" ht="15.95" customHeight="1"/>
    <row r="403" ht="15.95" customHeight="1"/>
    <row r="404" ht="15.95" customHeight="1"/>
    <row r="405" ht="15.95" customHeight="1"/>
    <row r="406" ht="15.95" customHeight="1"/>
    <row r="407" ht="15.95" customHeight="1"/>
    <row r="408" ht="15.95" customHeight="1"/>
    <row r="409" ht="15.95" customHeight="1"/>
    <row r="410" ht="15.95" customHeight="1"/>
    <row r="411" ht="15.95" customHeight="1"/>
    <row r="412" ht="15.95" customHeight="1"/>
    <row r="413" ht="15.95" customHeight="1"/>
    <row r="414" ht="15.95" customHeight="1"/>
    <row r="415" ht="15.95" customHeight="1"/>
    <row r="416" ht="15.95" customHeight="1"/>
    <row r="417" ht="15.95" customHeight="1"/>
    <row r="418" ht="15.95" customHeight="1"/>
    <row r="419" ht="15.95" customHeight="1"/>
    <row r="420" ht="15.95" customHeight="1"/>
    <row r="421" ht="15.95" customHeight="1"/>
    <row r="422" ht="15.95" customHeight="1"/>
    <row r="423" ht="15.95" customHeight="1"/>
    <row r="424" ht="15.95" customHeight="1"/>
    <row r="425" ht="15.95" customHeight="1"/>
    <row r="426" ht="15.95" customHeight="1"/>
    <row r="427" ht="15.95" customHeight="1"/>
    <row r="428" ht="15.95" customHeight="1"/>
    <row r="429" ht="15.95" customHeight="1"/>
    <row r="430" ht="15.95" customHeight="1"/>
    <row r="431" ht="15.95" customHeight="1"/>
    <row r="432" ht="15.95" customHeight="1"/>
    <row r="433" ht="15.95" customHeight="1"/>
    <row r="434" ht="15.95" customHeight="1"/>
    <row r="435" ht="15.95" customHeight="1"/>
    <row r="436" ht="15.95" customHeight="1"/>
    <row r="437" ht="15.95" customHeight="1"/>
    <row r="438" ht="15.95" customHeight="1"/>
    <row r="439" ht="15.95" customHeight="1"/>
    <row r="440" ht="15.95" customHeight="1"/>
    <row r="441" ht="15.95" customHeight="1"/>
    <row r="442" ht="15.95" customHeight="1"/>
    <row r="443" ht="15.95" customHeight="1"/>
    <row r="444" ht="15.95" customHeight="1"/>
    <row r="445" ht="15.95" customHeight="1"/>
    <row r="446" ht="15.95" customHeight="1"/>
    <row r="447" ht="15.95" customHeight="1"/>
    <row r="448" ht="15.95" customHeight="1"/>
    <row r="449" ht="15.95" customHeight="1"/>
    <row r="450" ht="15.95" customHeight="1"/>
    <row r="451" ht="15.95" customHeight="1"/>
    <row r="452" ht="15.95" customHeight="1"/>
    <row r="453" ht="15.95" customHeight="1"/>
    <row r="454" ht="15.95" customHeight="1"/>
    <row r="455" ht="15.95" customHeight="1"/>
    <row r="456" ht="15.95" customHeight="1"/>
    <row r="457" ht="15.95" customHeight="1"/>
    <row r="458" ht="15.95" customHeight="1"/>
    <row r="459" ht="15.95" customHeight="1"/>
    <row r="460" ht="15.95" customHeight="1"/>
    <row r="461" ht="15.95" customHeight="1"/>
    <row r="462" ht="15.95" customHeight="1"/>
    <row r="463" ht="15.95" customHeight="1"/>
    <row r="464" ht="15.95" customHeight="1"/>
    <row r="465" ht="15.95" customHeight="1"/>
    <row r="466" ht="15.95" customHeight="1"/>
    <row r="467" ht="15.95" customHeight="1"/>
    <row r="468" ht="15.95" customHeight="1"/>
    <row r="469" ht="15.95" customHeight="1"/>
    <row r="470" ht="15.95" customHeight="1"/>
    <row r="471" ht="15.95" customHeight="1"/>
    <row r="472" ht="15.95" customHeight="1"/>
    <row r="473" ht="15.95" customHeight="1"/>
    <row r="474" ht="15.95" customHeight="1"/>
    <row r="475" ht="15.95" customHeight="1"/>
    <row r="476" ht="15.95" customHeight="1"/>
    <row r="477" ht="15.95" customHeight="1"/>
    <row r="478" ht="15.95" customHeight="1"/>
    <row r="479" ht="15.95" customHeight="1"/>
    <row r="480" ht="15.95" customHeight="1"/>
    <row r="481" ht="15.95" customHeight="1"/>
    <row r="482" ht="15.95" customHeight="1"/>
    <row r="483" ht="15.95" customHeight="1"/>
    <row r="484" ht="15.95" customHeight="1"/>
    <row r="485" ht="15.95" customHeight="1"/>
    <row r="486" ht="15.95" customHeight="1"/>
    <row r="487" ht="15.95" customHeight="1"/>
    <row r="488" ht="15.95" customHeight="1"/>
    <row r="489" ht="15.95" customHeight="1"/>
    <row r="490" ht="15.95" customHeight="1"/>
    <row r="491" ht="15.95" customHeight="1"/>
    <row r="492" ht="15.95" customHeight="1"/>
    <row r="493" ht="15.95" customHeight="1"/>
    <row r="494" ht="15.95" customHeight="1"/>
    <row r="495" ht="15.95" customHeight="1"/>
    <row r="496" ht="15.95" customHeight="1"/>
    <row r="497" ht="15.95" customHeight="1"/>
    <row r="498" ht="15.95" customHeight="1"/>
    <row r="499" ht="15.95" customHeight="1"/>
    <row r="500" ht="15.95" customHeight="1"/>
    <row r="501" ht="15.95" customHeight="1"/>
    <row r="502" ht="15.95" customHeight="1"/>
    <row r="503" ht="15.95" customHeight="1"/>
    <row r="504" ht="15.95" customHeight="1"/>
    <row r="505" ht="15.95" customHeight="1"/>
    <row r="506" ht="15.95" customHeight="1"/>
    <row r="507" ht="15.95" customHeight="1"/>
    <row r="508" ht="15.95" customHeight="1"/>
    <row r="509" ht="15.95" customHeight="1"/>
    <row r="510" ht="15.95" customHeight="1"/>
    <row r="511" ht="15.95" customHeight="1"/>
    <row r="512" ht="15.95" customHeight="1"/>
    <row r="513" ht="15.95" customHeight="1"/>
    <row r="514" ht="15.95" customHeight="1"/>
    <row r="515" ht="15.95" customHeight="1"/>
    <row r="516" ht="15.95" customHeight="1"/>
    <row r="517" ht="15.95" customHeight="1"/>
    <row r="518" ht="15.95" customHeight="1"/>
    <row r="519" ht="15.95" customHeight="1"/>
    <row r="520" ht="15.95" customHeight="1"/>
    <row r="521" ht="15.95" customHeight="1"/>
    <row r="522" ht="15.95" customHeight="1"/>
    <row r="523" ht="15.95" customHeight="1"/>
    <row r="524" ht="15.95" customHeight="1"/>
    <row r="525" ht="15.95" customHeight="1"/>
    <row r="526" ht="15.95" customHeight="1"/>
    <row r="527" ht="15.95" customHeight="1"/>
    <row r="528" ht="15.95" customHeight="1"/>
    <row r="529" ht="15.95" customHeight="1"/>
    <row r="530" ht="15.95" customHeight="1"/>
    <row r="531" ht="15.95" customHeight="1"/>
    <row r="532" ht="15.95" customHeight="1"/>
    <row r="533" ht="15.95" customHeight="1"/>
    <row r="534" ht="15.95" customHeight="1"/>
    <row r="535" ht="15.95" customHeight="1"/>
    <row r="536" ht="15.95" customHeight="1"/>
    <row r="537" ht="15.95" customHeight="1"/>
    <row r="538" ht="15.95" customHeight="1"/>
    <row r="539" ht="15.95" customHeight="1"/>
    <row r="540" ht="15.95" customHeight="1"/>
    <row r="541" ht="15.95" customHeight="1"/>
    <row r="542" ht="15.95" customHeight="1"/>
    <row r="543" ht="15.95" customHeight="1"/>
    <row r="544" ht="15.95" customHeight="1"/>
    <row r="545" ht="15.95" customHeight="1"/>
    <row r="546" ht="15.95" customHeight="1"/>
    <row r="547" ht="15.95" customHeight="1"/>
    <row r="548" ht="15.95" customHeight="1"/>
    <row r="549" ht="15.95" customHeight="1"/>
    <row r="550" ht="15.95" customHeight="1"/>
    <row r="551" ht="15.95" customHeight="1"/>
    <row r="552" ht="15.95" customHeight="1"/>
    <row r="553" ht="15.95" customHeight="1"/>
    <row r="554" ht="15.95" customHeight="1"/>
    <row r="555" ht="15.95" customHeight="1"/>
    <row r="556" ht="15.95" customHeight="1"/>
    <row r="557" ht="15.95" customHeight="1"/>
    <row r="558" ht="15.95" customHeight="1"/>
    <row r="559" ht="15.95" customHeight="1"/>
    <row r="560" ht="15.95" customHeight="1"/>
    <row r="561" ht="15.95" customHeight="1"/>
    <row r="562" ht="15.95" customHeight="1"/>
    <row r="563" ht="15.95" customHeight="1"/>
    <row r="564" ht="15.95" customHeight="1"/>
    <row r="565" ht="15.95" customHeight="1"/>
    <row r="566" ht="15.95" customHeight="1"/>
    <row r="567" ht="15.95" customHeight="1"/>
    <row r="568" ht="15.95" customHeight="1"/>
    <row r="569" ht="15.95" customHeight="1"/>
    <row r="570" ht="15.95" customHeight="1"/>
    <row r="571" ht="15.95" customHeight="1"/>
    <row r="572" ht="15.95" customHeight="1"/>
    <row r="573" ht="15.95" customHeight="1"/>
    <row r="574" ht="15.95" customHeight="1"/>
    <row r="575" ht="15.95" customHeight="1"/>
    <row r="576" ht="15.95" customHeight="1"/>
    <row r="577" ht="15.95" customHeight="1"/>
    <row r="578" ht="15.95" customHeight="1"/>
    <row r="579" ht="15.95" customHeight="1"/>
    <row r="580" ht="15.95" customHeight="1"/>
    <row r="581" ht="15.95" customHeight="1"/>
    <row r="582" ht="15.95" customHeight="1"/>
    <row r="583" ht="15.95" customHeight="1"/>
    <row r="584" ht="15.95" customHeight="1"/>
    <row r="585" ht="15.95" customHeight="1"/>
    <row r="586" ht="15.95" customHeight="1"/>
    <row r="587" ht="15.95" customHeight="1"/>
    <row r="588" ht="15.95" customHeight="1"/>
    <row r="589" ht="15.95" customHeight="1"/>
    <row r="590" ht="15.95" customHeight="1"/>
    <row r="591" ht="15.95" customHeight="1"/>
    <row r="592" ht="15.95" customHeight="1"/>
    <row r="593" ht="15.95" customHeight="1"/>
    <row r="594" ht="15.95" customHeight="1"/>
    <row r="595" ht="15.95" customHeight="1"/>
    <row r="596" ht="15.95" customHeight="1"/>
    <row r="597" ht="15.95" customHeight="1"/>
    <row r="598" ht="15.95" customHeight="1"/>
    <row r="599" ht="15.95" customHeight="1"/>
    <row r="600" ht="15.95" customHeight="1"/>
    <row r="601" ht="15.95" customHeight="1"/>
    <row r="602" ht="15.95" customHeight="1"/>
    <row r="603" ht="15.95" customHeight="1"/>
    <row r="604" ht="15.95" customHeight="1"/>
    <row r="605" ht="15.95" customHeight="1"/>
    <row r="606" ht="15.95" customHeight="1"/>
    <row r="607" ht="15.95" customHeight="1"/>
    <row r="608" ht="15.95" customHeight="1"/>
    <row r="609" ht="15.95" customHeight="1"/>
    <row r="610" ht="15.95" customHeight="1"/>
    <row r="611" ht="15.95" customHeight="1"/>
    <row r="612" ht="15.95" customHeight="1"/>
    <row r="613" ht="15.95" customHeight="1"/>
    <row r="614" ht="15.95" customHeight="1"/>
    <row r="615" ht="15.95" customHeight="1"/>
    <row r="616" ht="15.95" customHeight="1"/>
    <row r="617" ht="15.95" customHeight="1"/>
    <row r="618" ht="15.95" customHeight="1"/>
    <row r="619" ht="15.95" customHeight="1"/>
    <row r="620" ht="15.95" customHeight="1"/>
    <row r="621" ht="15.95" customHeight="1"/>
    <row r="622" ht="15.95" customHeight="1"/>
    <row r="623" ht="15.95" customHeight="1"/>
    <row r="624" ht="15.95" customHeight="1"/>
    <row r="625" ht="15.95" customHeight="1"/>
    <row r="626" ht="15.95" customHeight="1"/>
    <row r="627" ht="15.95" customHeight="1"/>
    <row r="628" ht="15.95" customHeight="1"/>
    <row r="629" ht="15.95" customHeight="1"/>
    <row r="630" ht="15.95" customHeight="1"/>
    <row r="631" ht="15.95" customHeight="1"/>
    <row r="632" ht="15.95" customHeight="1"/>
    <row r="633" ht="15.95" customHeight="1"/>
    <row r="634" ht="15.95" customHeight="1"/>
    <row r="635" ht="15.95" customHeight="1"/>
    <row r="636" ht="15.95" customHeight="1"/>
    <row r="637" ht="15.95" customHeight="1"/>
    <row r="638" ht="15.95" customHeight="1"/>
    <row r="639" ht="15.95" customHeight="1"/>
    <row r="640" ht="15.95" customHeight="1"/>
    <row r="641" ht="15.95" customHeight="1"/>
    <row r="642" ht="15.95" customHeight="1"/>
    <row r="643" ht="15.95" customHeight="1"/>
    <row r="644" ht="15.95" customHeight="1"/>
    <row r="645" ht="15.95" customHeight="1"/>
    <row r="646" ht="15.95" customHeight="1"/>
    <row r="647" ht="15.95" customHeight="1"/>
    <row r="648" ht="15.95" customHeight="1"/>
    <row r="649" ht="15.95" customHeight="1"/>
    <row r="650" ht="15.95" customHeight="1"/>
    <row r="651" ht="15.95" customHeight="1"/>
    <row r="652" ht="15.95" customHeight="1"/>
    <row r="653" ht="15.95" customHeight="1"/>
    <row r="654" ht="15.95" customHeight="1"/>
    <row r="655" ht="15.95" customHeight="1"/>
    <row r="656" ht="15.95" customHeight="1"/>
    <row r="657" ht="15.95" customHeight="1"/>
    <row r="658" ht="15.95" customHeight="1"/>
    <row r="659" ht="15.95" customHeight="1"/>
    <row r="660" ht="15.95" customHeight="1"/>
    <row r="661" ht="15.95" customHeight="1"/>
    <row r="662" ht="15.95" customHeight="1"/>
    <row r="663" ht="15.95" customHeight="1"/>
    <row r="664" ht="15.95" customHeight="1"/>
    <row r="665" ht="15.95" customHeight="1"/>
    <row r="666" ht="15.95" customHeight="1"/>
    <row r="667" ht="15.95" customHeight="1"/>
    <row r="668" ht="15.95" customHeight="1"/>
    <row r="669" ht="15.95" customHeight="1"/>
    <row r="670" ht="15.95" customHeight="1"/>
    <row r="671" ht="15.95" customHeight="1"/>
    <row r="672" ht="15.95" customHeight="1"/>
    <row r="673" ht="15.95" customHeight="1"/>
    <row r="674" ht="15.95" customHeight="1"/>
    <row r="675" ht="15.95" customHeight="1"/>
    <row r="676" ht="15.95" customHeight="1"/>
    <row r="677" ht="15.95" customHeight="1"/>
    <row r="678" ht="15.95" customHeight="1"/>
    <row r="679" ht="15.95" customHeight="1"/>
    <row r="680" ht="15.95" customHeight="1"/>
    <row r="681" ht="15.95" customHeight="1"/>
    <row r="682" ht="15.95" customHeight="1"/>
    <row r="683" ht="15.95" customHeight="1"/>
    <row r="684" ht="15.95" customHeight="1"/>
    <row r="685" ht="15.95" customHeight="1"/>
    <row r="686" ht="15.95" customHeight="1"/>
    <row r="687" ht="15.95" customHeight="1"/>
    <row r="688" ht="15.95" customHeight="1"/>
    <row r="689" ht="15.95" customHeight="1"/>
    <row r="690" ht="15.95" customHeight="1"/>
    <row r="691" ht="15.95" customHeight="1"/>
    <row r="692" ht="15.95" customHeight="1"/>
    <row r="693" ht="15.95" customHeight="1"/>
    <row r="694" ht="15.95" customHeight="1"/>
    <row r="695" ht="15.95" customHeight="1"/>
    <row r="696" ht="15.95" customHeight="1"/>
    <row r="697" ht="15.95" customHeight="1"/>
    <row r="698" ht="15.95" customHeight="1"/>
    <row r="699" ht="15.95" customHeight="1"/>
    <row r="700" ht="15.95" customHeight="1"/>
    <row r="701" ht="15.95" customHeight="1"/>
    <row r="702" ht="15.95" customHeight="1"/>
    <row r="703" ht="15.95" customHeight="1"/>
    <row r="704" ht="15.95" customHeight="1"/>
    <row r="705" ht="15.95" customHeight="1"/>
    <row r="706" ht="15.95" customHeight="1"/>
    <row r="707" ht="15.95" customHeight="1"/>
    <row r="708" ht="15.95" customHeight="1"/>
    <row r="709" ht="15.95" customHeight="1"/>
    <row r="710" ht="15.95" customHeight="1"/>
    <row r="711" ht="15.95" customHeight="1"/>
    <row r="712" ht="15.95" customHeight="1"/>
    <row r="713" ht="15.95" customHeight="1"/>
    <row r="714" ht="15.95" customHeight="1"/>
    <row r="715" ht="15.95" customHeight="1"/>
    <row r="716" ht="15.95" customHeight="1"/>
    <row r="717" ht="15.95" customHeight="1"/>
    <row r="718" ht="15.95" customHeight="1"/>
    <row r="719" ht="15.95" customHeight="1"/>
    <row r="720" ht="15.95" customHeight="1"/>
    <row r="721" ht="15.95" customHeight="1"/>
    <row r="722" ht="15.95" customHeight="1"/>
    <row r="723" ht="15.95" customHeight="1"/>
  </sheetData>
  <mergeCells count="14">
    <mergeCell ref="AN55:AO56"/>
    <mergeCell ref="I56:K56"/>
    <mergeCell ref="Z67:AA67"/>
    <mergeCell ref="Y78:Z81"/>
    <mergeCell ref="Y86:Z86"/>
    <mergeCell ref="Y88:Z88"/>
    <mergeCell ref="X33:Y34"/>
    <mergeCell ref="Z45:AA45"/>
    <mergeCell ref="V47:AC65"/>
    <mergeCell ref="D55:D57"/>
    <mergeCell ref="E55:E57"/>
    <mergeCell ref="H55:H57"/>
    <mergeCell ref="N55:N57"/>
    <mergeCell ref="R55:R57"/>
  </mergeCells>
  <printOptions horizontalCentered="1" verticalCentered="1"/>
  <pageMargins left="0.261811024" right="0.261811024" top="0.53740157499999996" bottom="0.53740157499999996" header="0.31496062000000002" footer="0.31496062000000002"/>
  <pageSetup paperSize="9" scale="91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8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14" baseType="lpstr">
      <vt:lpstr>TC_cálculo</vt:lpstr>
      <vt:lpstr>Curva_Nelson</vt:lpstr>
      <vt:lpstr>Classes por Norma</vt:lpstr>
      <vt:lpstr>Dados</vt:lpstr>
      <vt:lpstr>TC_desenho_1</vt:lpstr>
      <vt:lpstr>Curva_Aço</vt:lpstr>
      <vt:lpstr>Dimensional</vt:lpstr>
      <vt:lpstr>Camadas</vt:lpstr>
      <vt:lpstr>Paralelogramo 0,3</vt:lpstr>
      <vt:lpstr>Camadas!Print_Area</vt:lpstr>
      <vt:lpstr>'Classes por Norma'!Print_Area</vt:lpstr>
      <vt:lpstr>Dados!Print_Area</vt:lpstr>
      <vt:lpstr>Dimensional!Print_Area</vt:lpstr>
      <vt:lpstr>TC_cálculo!Print_Area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Cleber Arantes  Amorim Junior</dc:creator>
  <cp:lastModifiedBy>Rafael Lopes Soares</cp:lastModifiedBy>
  <cp:lastPrinted>2023-10-23T17:53:10Z</cp:lastPrinted>
  <dcterms:created xsi:type="dcterms:W3CDTF">2023-04-28T12:05:04Z</dcterms:created>
  <dcterms:modified xsi:type="dcterms:W3CDTF">2023-11-17T18:32:57Z</dcterms:modified>
</cp:coreProperties>
</file>