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04"/>
  <workbookPr codeName="ThisWorkbook"/>
  <mc:AlternateContent xmlns:mc="http://schemas.openxmlformats.org/markup-compatibility/2006">
    <mc:Choice Requires="x15">
      <x15ac:absPath xmlns:x15ac="http://schemas.microsoft.com/office/spreadsheetml/2010/11/ac" url="https://ucliveac.sharepoint.com/sites/HINT/Shared Documents/PhDs/WP1a Rafaella/4. Data/(Claudio Habib) Hydrogen tech parameters/"/>
    </mc:Choice>
  </mc:AlternateContent>
  <xr:revisionPtr revIDLastSave="0" documentId="8_{A439C492-BE39-4F1D-BA7B-4E18A35CD895}" xr6:coauthVersionLast="47" xr6:coauthVersionMax="47" xr10:uidLastSave="{00000000-0000-0000-0000-000000000000}"/>
  <bookViews>
    <workbookView xWindow="-28920" yWindow="-120" windowWidth="29040" windowHeight="15840" tabRatio="750" firstSheet="4" activeTab="4" xr2:uid="{00000000-000D-0000-FFFF-FFFF00000000}"/>
  </bookViews>
  <sheets>
    <sheet name="Hydrogen Value Chain (outdated)" sheetId="7" r:id="rId1"/>
    <sheet name="Information" sheetId="39" r:id="rId2"/>
    <sheet name="Vectors" sheetId="37" r:id="rId3"/>
    <sheet name="Transport" sheetId="24" r:id="rId4"/>
    <sheet name="Conversion" sheetId="16" r:id="rId5"/>
    <sheet name="Renewable Generation" sheetId="29" r:id="rId6"/>
    <sheet name="Electrolyzers" sheetId="21" r:id="rId7"/>
    <sheet name="Chemical Storage" sheetId="23" r:id="rId8"/>
    <sheet name="Electric Storage" sheetId="25" r:id="rId9"/>
    <sheet name="CSP&amp;Storage" sheetId="26" r:id="rId10"/>
    <sheet name="Truck+Trailers" sheetId="22" r:id="rId11"/>
    <sheet name="Pipeline&amp;TL" sheetId="20" r:id="rId12"/>
    <sheet name="DAC&amp;CO2 Storage" sheetId="27" r:id="rId13"/>
    <sheet name="Desalination&amp;WaterStorage" sheetId="28" r:id="rId14"/>
    <sheet name="Re-Electrification" sheetId="33" r:id="rId15"/>
    <sheet name="Heat Exchangers" sheetId="34" r:id="rId16"/>
    <sheet name="ACS Heat&amp;Storage" sheetId="35" r:id="rId17"/>
    <sheet name="LT Heat&amp;Storage" sheetId="36" r:id="rId18"/>
    <sheet name="HT&amp;MT Heat" sheetId="31" r:id="rId19"/>
  </sheets>
  <externalReferences>
    <externalReference r:id="rId20"/>
  </externalReferences>
  <definedNames>
    <definedName name="_xlnm._FilterDatabase" localSheetId="2" hidden="1">Vectors!$H$1:$I$1</definedName>
    <definedName name="Años" localSheetId="3">Electrolyzers!$B$1:$H$1</definedName>
    <definedName name="Años">Electrolyzers!$B$1:$H$1</definedName>
    <definedName name="Carrier" localSheetId="3">'[1]Truck+Trailer'!$A$7,'[1]Truck+Trailer'!$A$16,'[1]Truck+Trailer'!$A$25,'[1]Truck+Trailer'!$A$34,'[1]Truck+Trailer'!$A$43,'[1]Truck+Trailer'!$A$52</definedName>
    <definedName name="Distancias" localSheetId="3">Transport!$M$3:$AS$35</definedName>
    <definedName name="Distancias">Transport!$M$3:$AS$35</definedName>
    <definedName name="From" localSheetId="3">Transport!$L$3:$L$35</definedName>
    <definedName name="To" localSheetId="3">Transport!$M$2:$AS$2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9" i="24" l="1"/>
  <c r="F18" i="24"/>
  <c r="E19" i="24"/>
  <c r="H14" i="20"/>
  <c r="G14" i="20"/>
  <c r="F14" i="20"/>
  <c r="E14" i="20"/>
  <c r="D14" i="20"/>
  <c r="C14" i="20"/>
  <c r="B14" i="20"/>
  <c r="G17" i="24"/>
  <c r="D11" i="24" l="1"/>
  <c r="D28" i="24"/>
  <c r="E14" i="24" l="1"/>
  <c r="E13" i="24"/>
  <c r="E12" i="24"/>
  <c r="E11" i="24"/>
  <c r="E10" i="24"/>
  <c r="E9" i="24"/>
  <c r="E8" i="24"/>
  <c r="E7" i="24"/>
  <c r="F7" i="24"/>
  <c r="B10" i="24"/>
  <c r="B9" i="24"/>
  <c r="B8" i="24"/>
  <c r="B7" i="24"/>
  <c r="U122" i="37"/>
  <c r="U117" i="37"/>
  <c r="U116" i="37"/>
  <c r="U115" i="37"/>
  <c r="U114" i="37"/>
  <c r="U113" i="37"/>
  <c r="U112" i="37"/>
  <c r="U111" i="37"/>
  <c r="U110" i="37"/>
  <c r="U109" i="37"/>
  <c r="U76" i="37"/>
  <c r="S152" i="37"/>
  <c r="S151" i="37"/>
  <c r="O156" i="37"/>
  <c r="O155" i="37"/>
  <c r="R151" i="37"/>
  <c r="R150" i="37"/>
  <c r="R149" i="37"/>
  <c r="R122" i="37"/>
  <c r="R116" i="37"/>
  <c r="R114" i="37"/>
  <c r="R112" i="37"/>
  <c r="R110" i="37"/>
  <c r="Q152" i="37"/>
  <c r="Q151" i="37"/>
  <c r="Q150" i="37"/>
  <c r="Q149" i="37"/>
  <c r="Q148" i="37"/>
  <c r="Q128" i="37"/>
  <c r="Q125" i="37"/>
  <c r="Q82" i="37"/>
  <c r="Q81" i="37"/>
  <c r="Q80" i="37"/>
  <c r="Q79" i="37"/>
  <c r="Q78" i="37"/>
  <c r="Q77" i="37"/>
  <c r="Q47" i="37"/>
  <c r="Q48" i="37"/>
  <c r="Q46" i="37"/>
  <c r="Q19" i="37"/>
  <c r="Q20" i="37"/>
  <c r="Q21" i="37"/>
  <c r="Q22" i="37"/>
  <c r="Q23" i="37"/>
  <c r="Q24" i="37"/>
  <c r="Q25" i="37"/>
  <c r="Q26" i="37"/>
  <c r="Q27" i="37"/>
  <c r="Q28" i="37"/>
  <c r="Q29" i="37"/>
  <c r="Q30" i="37"/>
  <c r="Q31" i="37"/>
  <c r="Q32" i="37"/>
  <c r="Q33" i="37"/>
  <c r="Q34" i="37"/>
  <c r="Q35" i="37"/>
  <c r="Q36" i="37"/>
  <c r="Q37" i="37"/>
  <c r="Q38" i="37"/>
  <c r="Q39" i="37"/>
  <c r="Q40" i="37"/>
  <c r="Q41" i="37"/>
  <c r="Q42" i="37"/>
  <c r="Q43" i="37"/>
  <c r="Q44" i="37"/>
  <c r="Q45" i="37"/>
  <c r="Q18" i="37"/>
  <c r="Q17" i="37"/>
  <c r="Q16" i="37"/>
  <c r="Q15" i="37"/>
  <c r="Q14" i="37"/>
  <c r="Q13" i="37"/>
  <c r="Q12" i="37"/>
  <c r="Q11" i="37"/>
  <c r="Q10" i="37"/>
  <c r="N10" i="37"/>
  <c r="O9" i="37"/>
  <c r="O8" i="37"/>
  <c r="O5" i="37"/>
  <c r="O4" i="37"/>
  <c r="O7" i="37"/>
  <c r="O6" i="37"/>
  <c r="N152" i="37"/>
  <c r="N151" i="37"/>
  <c r="N87" i="37"/>
  <c r="N85" i="37"/>
  <c r="N84" i="37"/>
  <c r="N17" i="37"/>
  <c r="N16" i="37"/>
  <c r="N15" i="37"/>
  <c r="N14" i="37"/>
  <c r="N13" i="37"/>
  <c r="N12" i="37"/>
  <c r="N11" i="37"/>
  <c r="C7" i="24" l="1"/>
  <c r="H7" i="24" s="1"/>
  <c r="G7" i="24" l="1"/>
  <c r="B11" i="24"/>
  <c r="B28" i="24" l="1"/>
  <c r="C28" i="24" s="1"/>
  <c r="C24" i="24"/>
  <c r="B24" i="24"/>
  <c r="D19" i="24"/>
  <c r="D18" i="24"/>
  <c r="E18" i="24" s="1"/>
  <c r="B18" i="24"/>
  <c r="C18" i="24" s="1"/>
  <c r="B20" i="24"/>
  <c r="C20" i="24" s="1"/>
  <c r="B19" i="24"/>
  <c r="C19" i="24" s="1"/>
  <c r="I14" i="24"/>
  <c r="I13" i="24"/>
  <c r="I12" i="24"/>
  <c r="I11" i="24"/>
  <c r="I10" i="24"/>
  <c r="I9" i="24"/>
  <c r="I8" i="24"/>
  <c r="I7" i="24"/>
  <c r="F14" i="24"/>
  <c r="F13" i="24"/>
  <c r="F12" i="24"/>
  <c r="F11" i="24"/>
  <c r="F10" i="24"/>
  <c r="F9" i="24"/>
  <c r="F8" i="24"/>
  <c r="B14" i="24"/>
  <c r="C14" i="24" s="1"/>
  <c r="B13" i="24"/>
  <c r="C13" i="24" s="1"/>
  <c r="H13" i="24" s="1"/>
  <c r="B12" i="24"/>
  <c r="C12" i="24" s="1"/>
  <c r="H12" i="24" s="1"/>
  <c r="C11" i="24"/>
  <c r="H11" i="24" s="1"/>
  <c r="C10" i="24"/>
  <c r="H10" i="24" s="1"/>
  <c r="C9" i="24"/>
  <c r="H9" i="24" s="1"/>
  <c r="C8" i="24"/>
  <c r="H8" i="24" s="1"/>
  <c r="G11" i="24" l="1"/>
  <c r="G14" i="24"/>
  <c r="H14" i="24"/>
  <c r="G10" i="24"/>
  <c r="G13" i="24"/>
  <c r="G8" i="24"/>
  <c r="G12" i="24"/>
  <c r="G9" i="24"/>
  <c r="J7" i="24"/>
  <c r="J14" i="24"/>
  <c r="J12" i="24"/>
  <c r="J9" i="24"/>
  <c r="J8" i="24"/>
  <c r="J11" i="24"/>
  <c r="J13" i="24"/>
  <c r="J10" i="24"/>
</calcChain>
</file>

<file path=xl/sharedStrings.xml><?xml version="1.0" encoding="utf-8"?>
<sst xmlns="http://schemas.openxmlformats.org/spreadsheetml/2006/main" count="4336" uniqueCount="1286">
  <si>
    <t>Production and Storage</t>
  </si>
  <si>
    <t>Transport</t>
  </si>
  <si>
    <t>Conversion Unit</t>
  </si>
  <si>
    <t>Re-electrification</t>
  </si>
  <si>
    <t>Final Demand</t>
  </si>
  <si>
    <t>GH2 Form</t>
  </si>
  <si>
    <t>LH2 Form</t>
  </si>
  <si>
    <t>NH3 Form</t>
  </si>
  <si>
    <t>Tools Information</t>
  </si>
  <si>
    <t>Sheet Information</t>
  </si>
  <si>
    <t>Abbreviations</t>
  </si>
  <si>
    <t>Name</t>
  </si>
  <si>
    <t>Link</t>
  </si>
  <si>
    <t>Description</t>
  </si>
  <si>
    <t>Units Converter</t>
  </si>
  <si>
    <t>http://energiaabierta.cl/visualizaciones/conversor-de-unidades/</t>
  </si>
  <si>
    <t>Vector_O</t>
  </si>
  <si>
    <t>Origin</t>
  </si>
  <si>
    <t>GH2</t>
  </si>
  <si>
    <t>Gas Hydrogen</t>
  </si>
  <si>
    <t>Inflation</t>
  </si>
  <si>
    <t>https://www.dineroeneltiempo.com/euro/</t>
  </si>
  <si>
    <t>Vector_D</t>
  </si>
  <si>
    <t>Destiny</t>
  </si>
  <si>
    <t>LH2</t>
  </si>
  <si>
    <t>Liquid Hydrogen</t>
  </si>
  <si>
    <t>Money Change</t>
  </si>
  <si>
    <t>https://www.cambioeuro.es/oficial-euro-dolar/</t>
  </si>
  <si>
    <t>CF</t>
  </si>
  <si>
    <t>Change the units of the values ​​from the prices to the units of the values ​​used in the balance equations. It applies for costs and balance equations conversions.</t>
  </si>
  <si>
    <t>NH3</t>
  </si>
  <si>
    <t>Ammonia</t>
  </si>
  <si>
    <t>Data Extraction Tool</t>
  </si>
  <si>
    <t>https://apps.automeris.io/wpd/</t>
  </si>
  <si>
    <t>etaconv</t>
  </si>
  <si>
    <t>It is the efficiency of change in loading / unloading of all storage interfaces.</t>
  </si>
  <si>
    <t>MeOH</t>
  </si>
  <si>
    <t>Methanol</t>
  </si>
  <si>
    <t>Losses</t>
  </si>
  <si>
    <t>It is the inevitable loss that occurs when moving from one vector to another.</t>
  </si>
  <si>
    <t>CH4</t>
  </si>
  <si>
    <t>Methane or Natural Gas</t>
  </si>
  <si>
    <t>Electric Factor</t>
  </si>
  <si>
    <t>It is the electricity consumption / generation associated with the unit corresponding to the balance equation.</t>
  </si>
  <si>
    <t>Atm</t>
  </si>
  <si>
    <t>Atmospheric = 1 bar</t>
  </si>
  <si>
    <t>Thermal Factor</t>
  </si>
  <si>
    <t>It is the thermal consumption / generation associated with the unit corresponding to the balance equation.</t>
  </si>
  <si>
    <t>ACS</t>
  </si>
  <si>
    <t>"Agua Caliente Sanitaria" &lt;60°C</t>
  </si>
  <si>
    <t>Water Factor</t>
  </si>
  <si>
    <t>It is the water consumption / generation associated with the unit corresponding to the balance equation.</t>
  </si>
  <si>
    <t>CO2</t>
  </si>
  <si>
    <t>Carbon Dioxide</t>
  </si>
  <si>
    <t>CO2 Factor</t>
  </si>
  <si>
    <t>It is the carbon dioxide consumption / generation associated with the unit corresponding to the balance equation.</t>
  </si>
  <si>
    <t>LT</t>
  </si>
  <si>
    <t>Low-Temperature &lt;100°C</t>
  </si>
  <si>
    <t>Comb Factor</t>
  </si>
  <si>
    <t>It is the fuel consumption / generation associated with the unit corresponding to the balance equation</t>
  </si>
  <si>
    <t>MT</t>
  </si>
  <si>
    <t>Medium-Temperature &lt;400°C| &gt;100°C</t>
  </si>
  <si>
    <t>HT</t>
  </si>
  <si>
    <t>High-Temperature &gt;400°C</t>
  </si>
  <si>
    <t>CT</t>
  </si>
  <si>
    <t>Conversion Technology</t>
  </si>
  <si>
    <t>ST</t>
  </si>
  <si>
    <t>Storage Technology</t>
  </si>
  <si>
    <t>c-air</t>
  </si>
  <si>
    <t>Compressed Air</t>
  </si>
  <si>
    <t>DH</t>
  </si>
  <si>
    <t>District Heating (Industrial heat in this case)</t>
  </si>
  <si>
    <t>CHP</t>
  </si>
  <si>
    <t>Combined Heat and Power</t>
  </si>
  <si>
    <t>Year Work =</t>
  </si>
  <si>
    <t>Sr.No</t>
  </si>
  <si>
    <t>Input1</t>
  </si>
  <si>
    <t>Input2</t>
  </si>
  <si>
    <t>Input3</t>
  </si>
  <si>
    <t>Input4</t>
  </si>
  <si>
    <t>Output1</t>
  </si>
  <si>
    <t>Output2</t>
  </si>
  <si>
    <t>VectorCT_O</t>
  </si>
  <si>
    <t>VectorCT_D</t>
  </si>
  <si>
    <t>Units for Installed Capacity</t>
  </si>
  <si>
    <t>Units after CF</t>
  </si>
  <si>
    <t>Water Turbine (Sea PHES Discharger)</t>
  </si>
  <si>
    <t>ct1</t>
  </si>
  <si>
    <t>water</t>
  </si>
  <si>
    <t>e</t>
  </si>
  <si>
    <t>kW_e</t>
  </si>
  <si>
    <t>Water Pump (Sea PHES Charger)</t>
  </si>
  <si>
    <t>ct2</t>
  </si>
  <si>
    <t>Li-Ion Battery Interface (Charger)</t>
  </si>
  <si>
    <t>ct3</t>
  </si>
  <si>
    <t>li-ions</t>
  </si>
  <si>
    <t>Li-Ion Battery Interface (Discharger)</t>
  </si>
  <si>
    <t>ct4</t>
  </si>
  <si>
    <t>A-CAES Storage Interface (Charger)</t>
  </si>
  <si>
    <t>ct5</t>
  </si>
  <si>
    <t>A-CAES Storage Interface (Discharger)</t>
  </si>
  <si>
    <t>ct6</t>
  </si>
  <si>
    <t>PEM Electrolyzer 80 bar</t>
  </si>
  <si>
    <t>ct7</t>
  </si>
  <si>
    <t>desal-water</t>
  </si>
  <si>
    <t>GH2-80</t>
  </si>
  <si>
    <t>kg H2/h</t>
  </si>
  <si>
    <t>No Aplica</t>
  </si>
  <si>
    <t>PEM Electrolyzer 70 bar</t>
  </si>
  <si>
    <t>ct8</t>
  </si>
  <si>
    <t>GH2-70</t>
  </si>
  <si>
    <t>PEM Electrolyzer 60 bar</t>
  </si>
  <si>
    <t>ct9</t>
  </si>
  <si>
    <t>GH2-60</t>
  </si>
  <si>
    <t>Alkaline Electrolyzer 70</t>
  </si>
  <si>
    <t>ct10</t>
  </si>
  <si>
    <t>Alkaline Electrolyzer 30</t>
  </si>
  <si>
    <t>ct11</t>
  </si>
  <si>
    <t>GH2-30</t>
  </si>
  <si>
    <t>Alkaline Electrolyzer 15</t>
  </si>
  <si>
    <t>ct12</t>
  </si>
  <si>
    <t>GH2-15</t>
  </si>
  <si>
    <t>On-site PEM Electrolyzer</t>
  </si>
  <si>
    <t>ct13</t>
  </si>
  <si>
    <t>GH2-700</t>
  </si>
  <si>
    <t>kW_e (recordar cambiar los kW_H2 del compresor[x33,333])</t>
  </si>
  <si>
    <t>On-site Alkaline Electrolyzer</t>
  </si>
  <si>
    <t>ct14</t>
  </si>
  <si>
    <t>Centralized Large Compressor Atm to 15</t>
  </si>
  <si>
    <t>ct15</t>
  </si>
  <si>
    <t>GH2-Atm</t>
  </si>
  <si>
    <t>kW_H2</t>
  </si>
  <si>
    <t>Centralized Large Compressor Atm to 30</t>
  </si>
  <si>
    <t>ct16</t>
  </si>
  <si>
    <t>Centralized Large Compressor Atm to 60</t>
  </si>
  <si>
    <t>ct17</t>
  </si>
  <si>
    <t>Centralized Large Compressor Atm to 70</t>
  </si>
  <si>
    <t>ct18</t>
  </si>
  <si>
    <t>Centralized Large Compressor Atm to 80</t>
  </si>
  <si>
    <t>ct19</t>
  </si>
  <si>
    <t>Centralized Large Compressor Atm to 140</t>
  </si>
  <si>
    <t>ct20</t>
  </si>
  <si>
    <t>GH2-140</t>
  </si>
  <si>
    <t>Centralized Large Compressor Atm to 200</t>
  </si>
  <si>
    <t>ct21</t>
  </si>
  <si>
    <t>GH2-200</t>
  </si>
  <si>
    <t>Centralized Large Compressor 15 to 30</t>
  </si>
  <si>
    <t>ct22</t>
  </si>
  <si>
    <t>Centralized Large Compressor 15 to 60</t>
  </si>
  <si>
    <t>ct23</t>
  </si>
  <si>
    <t>Centralized Large Compressor 15 to 70</t>
  </si>
  <si>
    <t>ct24</t>
  </si>
  <si>
    <t>Centralized Large Compressor 15 to 80</t>
  </si>
  <si>
    <t>ct25</t>
  </si>
  <si>
    <t>Centralized Large Compressor 15 to 140</t>
  </si>
  <si>
    <t>ct26</t>
  </si>
  <si>
    <t>Centralized Large Compressor 15 to 200</t>
  </si>
  <si>
    <t>ct27</t>
  </si>
  <si>
    <t>Centralized Large Compressor 30 to 60</t>
  </si>
  <si>
    <t>ct28</t>
  </si>
  <si>
    <t>Centralized Large Compressor 30 to 70</t>
  </si>
  <si>
    <t>ct29</t>
  </si>
  <si>
    <t>Centralized Large Compressor 30 to 80</t>
  </si>
  <si>
    <t>ct30</t>
  </si>
  <si>
    <t>Centralized Large Compressor 30 to 140</t>
  </si>
  <si>
    <t>ct31</t>
  </si>
  <si>
    <t>Centralized Large Compressor 30 to 200</t>
  </si>
  <si>
    <t>ct32</t>
  </si>
  <si>
    <t>Centralized Large Compressor 60 to 70</t>
  </si>
  <si>
    <t>ct33</t>
  </si>
  <si>
    <t>Centralized Large Compressor 60 to 80</t>
  </si>
  <si>
    <t>ct34</t>
  </si>
  <si>
    <t>Centralized Large Compressor 60 to 140</t>
  </si>
  <si>
    <t>ct35</t>
  </si>
  <si>
    <t>Centralized Large Compressor 60 to 200</t>
  </si>
  <si>
    <t>ct36</t>
  </si>
  <si>
    <t>Centralized Large Compressor 70 to 80</t>
  </si>
  <si>
    <t>ct37</t>
  </si>
  <si>
    <t>Centralized Large Compressor 70 to 140</t>
  </si>
  <si>
    <t>ct38</t>
  </si>
  <si>
    <t>Centralized Large Compressor 70 to 200</t>
  </si>
  <si>
    <t>ct39</t>
  </si>
  <si>
    <t>Centralized Large Compressor 80 to 140</t>
  </si>
  <si>
    <t>ct40</t>
  </si>
  <si>
    <t>Centralized Large Compressor 80 to 200</t>
  </si>
  <si>
    <t>ct41</t>
  </si>
  <si>
    <t>Centralized Large Compressor 140 to 200</t>
  </si>
  <si>
    <t>ct42</t>
  </si>
  <si>
    <t>Descentralized Medium Compressor 200 to 350</t>
  </si>
  <si>
    <t>ct43</t>
  </si>
  <si>
    <t>GH2-350</t>
  </si>
  <si>
    <t>Descentralized Medium Compressor 200 to 500</t>
  </si>
  <si>
    <t>ct44</t>
  </si>
  <si>
    <t>GH2-500</t>
  </si>
  <si>
    <t>Descentralized Medium Compressor 200 to 700</t>
  </si>
  <si>
    <t>ct45</t>
  </si>
  <si>
    <t>Hydrogen Pressure Reducer Valve 700 to 350</t>
  </si>
  <si>
    <t>ct46</t>
  </si>
  <si>
    <t>Hydrogen Pressure Reducer Valve 700 to 200</t>
  </si>
  <si>
    <t>ct47</t>
  </si>
  <si>
    <t>Hydrogen Pressure Reducer Valve 700 to 30</t>
  </si>
  <si>
    <t>ct48</t>
  </si>
  <si>
    <t>Hydrogen Pressure Reducer Valve 700 to Atm</t>
  </si>
  <si>
    <t>ct49</t>
  </si>
  <si>
    <t>Hydrogen Pressure Reducer Valve 500 to 350</t>
  </si>
  <si>
    <t>ct50</t>
  </si>
  <si>
    <t>Hydrogen Pressure Reducer Valve 500 to 200</t>
  </si>
  <si>
    <t>ct51</t>
  </si>
  <si>
    <t>Hydrogen Pressure Reducer Valve 500 to 30</t>
  </si>
  <si>
    <t>ct52</t>
  </si>
  <si>
    <t>Hydrogen Pressure Reducer Valve 500 to Atm</t>
  </si>
  <si>
    <t>ct53</t>
  </si>
  <si>
    <t>Hydrogen Pressure Reducer Valve 350 to 200</t>
  </si>
  <si>
    <t>ct54</t>
  </si>
  <si>
    <t>Hydrogen Pressure Reducer Valve 350 to 30</t>
  </si>
  <si>
    <t>ct55</t>
  </si>
  <si>
    <t>Hydrogen Pressure Reducer Valve 350 to Atm</t>
  </si>
  <si>
    <t>ct56</t>
  </si>
  <si>
    <t>Hydrogen Pressure Reducer Valve 200 to 140</t>
  </si>
  <si>
    <t>ct57</t>
  </si>
  <si>
    <t>Hydrogen Pressure Reducer Valve 200 to 70</t>
  </si>
  <si>
    <t>ct58</t>
  </si>
  <si>
    <t>Hydrogen Pressure Reducer Valve 200 to 30</t>
  </si>
  <si>
    <t>ct59</t>
  </si>
  <si>
    <t>Hydrogen Pressure Reducer Valve 200 to Atm</t>
  </si>
  <si>
    <t>ct60</t>
  </si>
  <si>
    <t>Hydrogen Pressure Reducer Valve 140 to 70</t>
  </si>
  <si>
    <t>ct61</t>
  </si>
  <si>
    <t>Hydrogen Pressure Reducer Valve 140 to 30</t>
  </si>
  <si>
    <t>ct62</t>
  </si>
  <si>
    <t>Hydrogen Pressure Reducer Valve 140 to Atm</t>
  </si>
  <si>
    <t>ct63</t>
  </si>
  <si>
    <t>Hydrogen Pressure Reducer Valve 80 to 70</t>
  </si>
  <si>
    <t>ct64</t>
  </si>
  <si>
    <t>Hydrogen Pressure Reducer Valve 80 to 30</t>
  </si>
  <si>
    <t>ct65</t>
  </si>
  <si>
    <t>Hydrogen Pressure Reducer Valve 80 to Atm</t>
  </si>
  <si>
    <t>ct66</t>
  </si>
  <si>
    <t>Hydrogen Pressure Reducer Valve 70 to 30</t>
  </si>
  <si>
    <t>ct67</t>
  </si>
  <si>
    <t>Hydrogen Pressure Reducer Valve 70 to Atm</t>
  </si>
  <si>
    <t>ct68</t>
  </si>
  <si>
    <t>Hydrogen Pressure Reducer Valve 60 to 30</t>
  </si>
  <si>
    <t>ct69</t>
  </si>
  <si>
    <t>Hydrogen Pressure Reducer Valve 60 to Atm</t>
  </si>
  <si>
    <t>ct70</t>
  </si>
  <si>
    <t>Hydrogen Pressure Reducer Valve 30 to Atm</t>
  </si>
  <si>
    <t>ct71</t>
  </si>
  <si>
    <t>Hydrogen Pressure Reducer Valve 15 to Atm</t>
  </si>
  <si>
    <t>ct72</t>
  </si>
  <si>
    <t>Turboexpander</t>
  </si>
  <si>
    <t>ct73</t>
  </si>
  <si>
    <t>Liquefaction Plant 80 bar</t>
  </si>
  <si>
    <t>ct74</t>
  </si>
  <si>
    <t>Liquefaction Plant 70 bar</t>
  </si>
  <si>
    <t>ct75</t>
  </si>
  <si>
    <t>Liquefaction Plant 60 bar</t>
  </si>
  <si>
    <t>ct76</t>
  </si>
  <si>
    <t>Liquefaction Plant 30 bar</t>
  </si>
  <si>
    <t>ct77</t>
  </si>
  <si>
    <t>Liquefaction Plant 15 bar</t>
  </si>
  <si>
    <t>ct78</t>
  </si>
  <si>
    <t>Liquefaction Plant Atm</t>
  </si>
  <si>
    <t>ct79</t>
  </si>
  <si>
    <t>LH2 Regasification</t>
  </si>
  <si>
    <t>ct80</t>
  </si>
  <si>
    <t>Ammonia Synthesis Unit</t>
  </si>
  <si>
    <t>ct81</t>
  </si>
  <si>
    <t>MT-Heat</t>
  </si>
  <si>
    <t>Ton NH3/year</t>
  </si>
  <si>
    <t>kg NH3/h</t>
  </si>
  <si>
    <t>Ammonia Cracker</t>
  </si>
  <si>
    <t>ct82</t>
  </si>
  <si>
    <t>HT-Heat</t>
  </si>
  <si>
    <t>Ton H2/day</t>
  </si>
  <si>
    <t>Methanol Synthesis Unit</t>
  </si>
  <si>
    <t>ct83</t>
  </si>
  <si>
    <t>kg MeOH/h</t>
  </si>
  <si>
    <t>Methanol Cracker</t>
  </si>
  <si>
    <t>ct84</t>
  </si>
  <si>
    <t>Methanation Synthesis Unit</t>
  </si>
  <si>
    <t>ct85</t>
  </si>
  <si>
    <t>kg CH4/h</t>
  </si>
  <si>
    <t>GH2 Storage 30 bar Charger</t>
  </si>
  <si>
    <t>ct86</t>
  </si>
  <si>
    <t>GH2-ST30</t>
  </si>
  <si>
    <t>GH2 Storage 30 bar Discharger</t>
  </si>
  <si>
    <t>ct87</t>
  </si>
  <si>
    <t>Aboveground GH2 Storage 200 bar Charger</t>
  </si>
  <si>
    <t>ct88</t>
  </si>
  <si>
    <t>GH2-ST200</t>
  </si>
  <si>
    <t>Aboveground GH2 Storage 200 bar Discharger</t>
  </si>
  <si>
    <t>ct89</t>
  </si>
  <si>
    <t>Salt Cavern GH2 Storage Charger</t>
  </si>
  <si>
    <t>ct90</t>
  </si>
  <si>
    <t>GH2-ST200Salt</t>
  </si>
  <si>
    <t>Salt Cavern GH2 Storage Discharger</t>
  </si>
  <si>
    <t>ct91</t>
  </si>
  <si>
    <t>Buried Pipeline GH2 Storage Charger</t>
  </si>
  <si>
    <t>ct92</t>
  </si>
  <si>
    <t>GH2-ST200Pipe</t>
  </si>
  <si>
    <t>Buried Pipeline GH2 Storage Discharger</t>
  </si>
  <si>
    <t>ct93</t>
  </si>
  <si>
    <t>GH2 Storage 350 bar Charger</t>
  </si>
  <si>
    <t>ct94</t>
  </si>
  <si>
    <t>GH2-ST350</t>
  </si>
  <si>
    <t>GH2 Storage 350 bar Discharger</t>
  </si>
  <si>
    <t>ct95</t>
  </si>
  <si>
    <t>GH2 Storage 700 bar Charger</t>
  </si>
  <si>
    <t>ct96</t>
  </si>
  <si>
    <t>GH2-ST700</t>
  </si>
  <si>
    <t>GH2 Storage 700 bar Discharger</t>
  </si>
  <si>
    <t>ct97</t>
  </si>
  <si>
    <t>LH2 Storage Charger</t>
  </si>
  <si>
    <t>ct98</t>
  </si>
  <si>
    <t>LH2-ST</t>
  </si>
  <si>
    <t>LH2 Storage Discharger</t>
  </si>
  <si>
    <t>ct99</t>
  </si>
  <si>
    <t>NH3 Storage Charger</t>
  </si>
  <si>
    <t>ct100</t>
  </si>
  <si>
    <t>NH3-ST</t>
  </si>
  <si>
    <t>NH3 Storage Discharger</t>
  </si>
  <si>
    <t>ct101</t>
  </si>
  <si>
    <t>MeOH Storage Charger</t>
  </si>
  <si>
    <t>ct102</t>
  </si>
  <si>
    <t>MeOH-ST</t>
  </si>
  <si>
    <t>MeOH Storage Discharger</t>
  </si>
  <si>
    <t>ct103</t>
  </si>
  <si>
    <t>CH4 Storage Charger</t>
  </si>
  <si>
    <t>ct104</t>
  </si>
  <si>
    <t>CH4-ST</t>
  </si>
  <si>
    <t>CH4 Storage Discharger</t>
  </si>
  <si>
    <t>ct105</t>
  </si>
  <si>
    <t>Methane Combined Cycle Gas Turbine</t>
  </si>
  <si>
    <t>ct106</t>
  </si>
  <si>
    <t>Methane Combined Cycle Gas Turbine with Flue Gas Heat Exchanger</t>
  </si>
  <si>
    <t>ct107</t>
  </si>
  <si>
    <t>ACS-Heat</t>
  </si>
  <si>
    <t>Methane Open Cycle Gas Turbine</t>
  </si>
  <si>
    <t>ct108</t>
  </si>
  <si>
    <t>Methane Open Cycle Gas Turbine with Flue Gas Heat Exchanger</t>
  </si>
  <si>
    <t>ct109</t>
  </si>
  <si>
    <t>LT-Heat</t>
  </si>
  <si>
    <t>Hydrogen Combined Cycle Gas Turbine</t>
  </si>
  <si>
    <t>ct110</t>
  </si>
  <si>
    <t>Hydrogen Combined Cycle Gas Turbine with Flue Gas Heat Exchanger</t>
  </si>
  <si>
    <t>ct111</t>
  </si>
  <si>
    <t>Hydrogen Open Cycle Gas Turbine</t>
  </si>
  <si>
    <t>ct112</t>
  </si>
  <si>
    <t>Hydrogen Open Cycle Gas Turbine with Flue Gas Heat Exchanger</t>
  </si>
  <si>
    <t>ct113</t>
  </si>
  <si>
    <t>Stationary PEM Fuel Cell</t>
  </si>
  <si>
    <t>ct114</t>
  </si>
  <si>
    <t>GH2 Stationary SOFC</t>
  </si>
  <si>
    <t>ct115</t>
  </si>
  <si>
    <t>NH3 Stationary SOFC</t>
  </si>
  <si>
    <t>ct116</t>
  </si>
  <si>
    <t>MeOH Stationary SOFC</t>
  </si>
  <si>
    <t>ct117</t>
  </si>
  <si>
    <t>CH4 Stationary SOFC</t>
  </si>
  <si>
    <t>ct118</t>
  </si>
  <si>
    <t>Residential PEM Fuel Cell CHP</t>
  </si>
  <si>
    <t>ct119</t>
  </si>
  <si>
    <t>Residential Solar Heat Collectors - ACS</t>
  </si>
  <si>
    <t>ct120</t>
  </si>
  <si>
    <t>sun</t>
  </si>
  <si>
    <t>kW_th</t>
  </si>
  <si>
    <t>Local Electric Heating</t>
  </si>
  <si>
    <t>ct121</t>
  </si>
  <si>
    <t>Local Heat Pump</t>
  </si>
  <si>
    <t>ct122</t>
  </si>
  <si>
    <t>Local Natural Gas Heating</t>
  </si>
  <si>
    <t>ct123</t>
  </si>
  <si>
    <t>DH Electric Heating</t>
  </si>
  <si>
    <t>ct124</t>
  </si>
  <si>
    <t>DH Heat Pump</t>
  </si>
  <si>
    <t>ct125</t>
  </si>
  <si>
    <t>DH Natural Gas Heating</t>
  </si>
  <si>
    <t>ct126</t>
  </si>
  <si>
    <t>MT Methane Hot Heat Burner</t>
  </si>
  <si>
    <t>ct127</t>
  </si>
  <si>
    <t>MT Hydrogen Hot Heat Burner</t>
  </si>
  <si>
    <t>ct128</t>
  </si>
  <si>
    <t>MT Heating Rod</t>
  </si>
  <si>
    <t>ct129</t>
  </si>
  <si>
    <t>HT Methane Hot Heat Burner Aux Demand</t>
  </si>
  <si>
    <t>ct130</t>
  </si>
  <si>
    <t>HT Methane Hot Heat Burner Aux TES 565</t>
  </si>
  <si>
    <t>ct131</t>
  </si>
  <si>
    <t>Molten565</t>
  </si>
  <si>
    <t>HT Methane Hot Heat Burner Aux TES 400</t>
  </si>
  <si>
    <t>ct132</t>
  </si>
  <si>
    <t>Molten400</t>
  </si>
  <si>
    <t>HT Hydrogen Hot Heat Burner Aux Demand</t>
  </si>
  <si>
    <t>ct133</t>
  </si>
  <si>
    <t>HT Hydrogen Hot Heat Burner Aux TES 565</t>
  </si>
  <si>
    <t>ct134</t>
  </si>
  <si>
    <t>HT Hydrogen Hot Heat Burner Aux TES 400</t>
  </si>
  <si>
    <t>ct135</t>
  </si>
  <si>
    <t>HT Heating Rod Aux Demand</t>
  </si>
  <si>
    <t>ct136</t>
  </si>
  <si>
    <t>HT Heating Rod Aux TES 565</t>
  </si>
  <si>
    <t>ct137</t>
  </si>
  <si>
    <t>HT Heating Rod Aux TES 400</t>
  </si>
  <si>
    <t>ct138</t>
  </si>
  <si>
    <t>High-to-High Heat Exchanger</t>
  </si>
  <si>
    <t>ct139</t>
  </si>
  <si>
    <t>TES 565 High-to-Medium Heat Exchanger</t>
  </si>
  <si>
    <t>ct140</t>
  </si>
  <si>
    <t>TES 400 High-to-Medium Heat Exchanger</t>
  </si>
  <si>
    <t>ct141</t>
  </si>
  <si>
    <t>TES 565 High-to-Low Heat Exchanger</t>
  </si>
  <si>
    <t>ct142</t>
  </si>
  <si>
    <t>TES 400 High-to-Low Heat Exchanger</t>
  </si>
  <si>
    <t>ct143</t>
  </si>
  <si>
    <t>Low-to-ACS Heat Exchanger</t>
  </si>
  <si>
    <t>ct144</t>
  </si>
  <si>
    <t>Reverse Osmosis Seawater Desalination (RO)</t>
  </si>
  <si>
    <t>ct145</t>
  </si>
  <si>
    <r>
      <t>m</t>
    </r>
    <r>
      <rPr>
        <sz val="11"/>
        <color theme="1"/>
        <rFont val="Calibri"/>
        <family val="2"/>
      </rPr>
      <t>³/h</t>
    </r>
  </si>
  <si>
    <t>Multi-Stage Flash Desalination (MSF)</t>
  </si>
  <si>
    <t>ct146</t>
  </si>
  <si>
    <t>Multi-Effect Distillation Desalination (MED)</t>
  </si>
  <si>
    <t>ct147</t>
  </si>
  <si>
    <t>Low Temperature Direct Air Capture (DAC)</t>
  </si>
  <si>
    <t>ct148</t>
  </si>
  <si>
    <t>Ton CO2/year</t>
  </si>
  <si>
    <t>kg CO2/h</t>
  </si>
  <si>
    <t>High Temperature Direct Air Capture with electric heating supply (DAC)</t>
  </si>
  <si>
    <t>ct149</t>
  </si>
  <si>
    <t>Solar Tower Heliostat (Solar Field)</t>
  </si>
  <si>
    <t>ct150</t>
  </si>
  <si>
    <t>Parabolic Through Mirrors (Solar Field)</t>
  </si>
  <si>
    <t>ct151</t>
  </si>
  <si>
    <t>Solar Tower Steam Turbine (Power Block)</t>
  </si>
  <si>
    <t>ct152</t>
  </si>
  <si>
    <t>Parabolic Through Steam Turbine (Power Block)</t>
  </si>
  <si>
    <t>ct153</t>
  </si>
  <si>
    <t>Water Storage Interface (Charger)</t>
  </si>
  <si>
    <t>ct154</t>
  </si>
  <si>
    <t>desal-water-ST</t>
  </si>
  <si>
    <t>Water Storage Interface (Discharger)</t>
  </si>
  <si>
    <t>ct155</t>
  </si>
  <si>
    <t>Hot Water Heat Storage Interface (Charger)</t>
  </si>
  <si>
    <t>ct156</t>
  </si>
  <si>
    <t>ACS-ST</t>
  </si>
  <si>
    <t>Hot Water Heat Storage Interface (Discharger)</t>
  </si>
  <si>
    <t>ct157</t>
  </si>
  <si>
    <t>DH Heat Storage Interface (Charger)</t>
  </si>
  <si>
    <t>ct158</t>
  </si>
  <si>
    <t>LT-ST</t>
  </si>
  <si>
    <t>DH Heat Storage Interface (Discharger)</t>
  </si>
  <si>
    <t>ct159</t>
  </si>
  <si>
    <t>CO2 Storage Interface (Charger)</t>
  </si>
  <si>
    <t>ct160</t>
  </si>
  <si>
    <t>CO2-ST</t>
  </si>
  <si>
    <t>CO2 Storage Interface (Discharger)</t>
  </si>
  <si>
    <t>ct161</t>
  </si>
  <si>
    <t>VectorCT</t>
  </si>
  <si>
    <t>Storage entity</t>
  </si>
  <si>
    <t>VectorST</t>
  </si>
  <si>
    <t>Transmission entity</t>
  </si>
  <si>
    <t>Transmission Technology</t>
  </si>
  <si>
    <t>VectorL</t>
  </si>
  <si>
    <t>Sea PHES</t>
  </si>
  <si>
    <t>st1</t>
  </si>
  <si>
    <t>200 bar GH2 Trailer</t>
  </si>
  <si>
    <t>l1</t>
  </si>
  <si>
    <t>Li-ion Battery Storage</t>
  </si>
  <si>
    <t>st2</t>
  </si>
  <si>
    <t>350 bar GH2 Trailer</t>
  </si>
  <si>
    <t>l2</t>
  </si>
  <si>
    <t>A-CAES</t>
  </si>
  <si>
    <t>st3</t>
  </si>
  <si>
    <t>500 bar GH2 Trailer</t>
  </si>
  <si>
    <t>l3</t>
  </si>
  <si>
    <t>GH2 Storage 30 bar</t>
  </si>
  <si>
    <t>st4</t>
  </si>
  <si>
    <t>700 bar GH2 Trailer</t>
  </si>
  <si>
    <t>l4</t>
  </si>
  <si>
    <t>desal_water</t>
  </si>
  <si>
    <t>Aboveground GH2 Storage 200 bar</t>
  </si>
  <si>
    <t>st5</t>
  </si>
  <si>
    <t>LH2 Trailer + Pump</t>
  </si>
  <si>
    <t>l5</t>
  </si>
  <si>
    <t>Salt Cavern GH2 Storage</t>
  </si>
  <si>
    <t>st6</t>
  </si>
  <si>
    <t>Methanol Trailer</t>
  </si>
  <si>
    <t>l6</t>
  </si>
  <si>
    <t>Buried Pipeline GH2 Storage</t>
  </si>
  <si>
    <t>st7</t>
  </si>
  <si>
    <t>Ammonia Trailer</t>
  </si>
  <si>
    <t>l7</t>
  </si>
  <si>
    <t>GH2 Storage 350 bar</t>
  </si>
  <si>
    <t>st8</t>
  </si>
  <si>
    <t>Water Trailer</t>
  </si>
  <si>
    <t>l8</t>
  </si>
  <si>
    <t>GH2 Storage 700 bar</t>
  </si>
  <si>
    <t>st9</t>
  </si>
  <si>
    <t>70 bar GH2 Pipeline</t>
  </si>
  <si>
    <t>l9</t>
  </si>
  <si>
    <t>LH2 Storage</t>
  </si>
  <si>
    <t>st10</t>
  </si>
  <si>
    <t>140 bar GH2 Pipeline</t>
  </si>
  <si>
    <t>l10</t>
  </si>
  <si>
    <t>NH3 Storage</t>
  </si>
  <si>
    <t>st11</t>
  </si>
  <si>
    <t>Ammonia Pipeline</t>
  </si>
  <si>
    <t>l11</t>
  </si>
  <si>
    <t>MeOH Storage</t>
  </si>
  <si>
    <t>st12</t>
  </si>
  <si>
    <t>Aqueduct</t>
  </si>
  <si>
    <t>l12</t>
  </si>
  <si>
    <t>CH4 Storage</t>
  </si>
  <si>
    <t>st13</t>
  </si>
  <si>
    <t>HVAC Line</t>
  </si>
  <si>
    <t>l13</t>
  </si>
  <si>
    <t>Molten Salt TES 565°C</t>
  </si>
  <si>
    <t>st14</t>
  </si>
  <si>
    <t>Molten Salt TES 400°C</t>
  </si>
  <si>
    <t>st15</t>
  </si>
  <si>
    <t>Water Storage</t>
  </si>
  <si>
    <t>st16</t>
  </si>
  <si>
    <t>Hot Water Heat Storage</t>
  </si>
  <si>
    <t>st17</t>
  </si>
  <si>
    <t>DH Heat Storage</t>
  </si>
  <si>
    <t>st18</t>
  </si>
  <si>
    <t>CO2 Storage</t>
  </si>
  <si>
    <t>st19</t>
  </si>
  <si>
    <t>Return</t>
  </si>
  <si>
    <t>Going</t>
  </si>
  <si>
    <t>Only Trucks</t>
  </si>
  <si>
    <t>Distance From\To</t>
  </si>
  <si>
    <t>From =</t>
  </si>
  <si>
    <t>13 Ton</t>
  </si>
  <si>
    <t>13 Ton+Payload</t>
  </si>
  <si>
    <t>Trans. Lines | Gasoduct | Aqueduct | Trucks</t>
  </si>
  <si>
    <t>To =</t>
  </si>
  <si>
    <t>Truck + Trailer</t>
  </si>
  <si>
    <t>Carrier</t>
  </si>
  <si>
    <t>Time per Trip [h]</t>
  </si>
  <si>
    <t>Amount Delivered per hour [kg or mᶾ/h]</t>
  </si>
  <si>
    <t>Losses Factor per kg/h Delivered</t>
  </si>
  <si>
    <t>Investment per Trailer [2021€]</t>
  </si>
  <si>
    <t>Investment per Truck [2021€]</t>
  </si>
  <si>
    <t>CAPEX per Deliver [2021€/(kg or mᶾ/h)]</t>
  </si>
  <si>
    <t>OPEX fix per Deliver per year [2021€/(kg or mᶾ/h)]</t>
  </si>
  <si>
    <t>H2 Fuel Consumption per Trip [kg_350bar]</t>
  </si>
  <si>
    <t>H2 Fuel Consumption per Deliver [kg_350bar/(kg/h)]</t>
  </si>
  <si>
    <t>Pipeline</t>
  </si>
  <si>
    <t>Investment [2021€/(kg/h)]</t>
  </si>
  <si>
    <t>OPEX fix per year [2021€/(kg/h)]</t>
  </si>
  <si>
    <t>Electrical Cons [%/(MW-H2)]</t>
  </si>
  <si>
    <t>Electrical Cons [MW-e/(kg/h)]</t>
  </si>
  <si>
    <t>Electrical Cons [kW-e/(kg/h)]</t>
  </si>
  <si>
    <t>70 bar GH2</t>
  </si>
  <si>
    <t>140 bar GH2</t>
  </si>
  <si>
    <t>por 2</t>
  </si>
  <si>
    <t>Investment [2021€/mᶾ per hour]</t>
  </si>
  <si>
    <t>OPEX fix per year [2021€/mᶾ per hour]</t>
  </si>
  <si>
    <t>Water</t>
  </si>
  <si>
    <t>Transmission Line</t>
  </si>
  <si>
    <t>Investment [2021€/kWe]</t>
  </si>
  <si>
    <t>OPEX fix [2021€/kWe]</t>
  </si>
  <si>
    <t>Losses Factor per kW-e Transmitted</t>
  </si>
  <si>
    <t>Electricity</t>
  </si>
  <si>
    <t>Centralized Large Compressor 150 MW-H2 [Atm-200 bar]</t>
  </si>
  <si>
    <t>Reference</t>
  </si>
  <si>
    <t>Detail</t>
  </si>
  <si>
    <t>CAPEX LHV [2021€/kW-H2]</t>
  </si>
  <si>
    <t>https://doi.org/10.1016/j.apenergy.2020.116170</t>
  </si>
  <si>
    <t>HHV of 1 kg H2 = 39,4 kWh and LHV of 1 kg H2 = 33,333 kWh. Therefore, to convert from one value to another, multiply the ratio HHV / LHV = 1,182. 1 MW-H2 = 1 MW-e x Electrical efficiency.</t>
  </si>
  <si>
    <t>OPEX fix [% CAPEX | 2021€/kW-H2 per year]</t>
  </si>
  <si>
    <t>4 | 1,3712</t>
  </si>
  <si>
    <t>OPEX var [2021€/kWh-H2]</t>
  </si>
  <si>
    <t>Losses [% H2]</t>
  </si>
  <si>
    <t>https://doi.org/10.1016/j.apenergy.2017.05.050</t>
  </si>
  <si>
    <t>Atm to 15 bar Electrical Consumption [kWh-e/kg H2]</t>
  </si>
  <si>
    <t>Technology Catalogue for Transport of Energy | Energistyrelsen (ens.dk)</t>
  </si>
  <si>
    <t>The formula used is found on page 116 of the document. Factor "A" is 1,1 for 2020 and 2025, it is 0,9 for 2030, 2035 and 2040 and it is 0,8 for 2045 and 2050. The value used is LHV in this case, so 39,42 is replaced by 33,333.</t>
  </si>
  <si>
    <t>Atm to 30 bar Electrical Consumption [kWh-e/kg H2]</t>
  </si>
  <si>
    <t>Atm to 60 bar Electrical Consumption [kWh-e/kg H2]</t>
  </si>
  <si>
    <t>Atm to 70 bar Electrical Consumption [kWh-e/kg H2]</t>
  </si>
  <si>
    <t>Atm to 80 bar Electrical Consumption [kWh-e/kg H2]</t>
  </si>
  <si>
    <t>Atm to 140 bar Electrical Consumption [kWh-e/kg H2]</t>
  </si>
  <si>
    <t>Atm to 200 bar Electrical Consumption [kWh-e/kg H2]</t>
  </si>
  <si>
    <t>15 to 30 bar Electrical Consumption [kWh-e/kg H2]</t>
  </si>
  <si>
    <t>15 to 60 bar Electrical Consumption [kWh-e/kg H2]</t>
  </si>
  <si>
    <t>15 to 70 bar Electrical Consumption [kWh-e/kg H2]</t>
  </si>
  <si>
    <t>15 to 80 bar Electrical Consumption [kWh-e/kg H2]</t>
  </si>
  <si>
    <t>15 to 140 bar Electrical Consumption [kWh-e/kg H2]</t>
  </si>
  <si>
    <t>15 to 200 bar Electrical Consumption [kWh-e/kg H2]</t>
  </si>
  <si>
    <t>30 to 60 bar Electrical Consumption [kWh-e/kg H2]</t>
  </si>
  <si>
    <t>30 to 70 bar Electrical Consumption [kWh-e/kg H2]</t>
  </si>
  <si>
    <t>30 to 80 bar Electrical Consumption [kWh-e/kg H2]</t>
  </si>
  <si>
    <t>30 to 140 bar Electrical Consumption [kWh-e/kg H2]</t>
  </si>
  <si>
    <t>30 to 200 bar Electrical Consumption [kWh-e/kg H2]</t>
  </si>
  <si>
    <t>60 to 70 bar Electrical Consumption [kWh-e/kg H2]</t>
  </si>
  <si>
    <t>60 to 80 bar Electrical Consumption [kWh-e/kg H2]</t>
  </si>
  <si>
    <t>60 to 140 bar Electrical Consumption [kWh-e/kg H2]</t>
  </si>
  <si>
    <t>60 to 200 bar Electrical Consumption [kWh-e/kg H2]</t>
  </si>
  <si>
    <t>70 to 80 bar Electrical Consumption [kWh-e/kg H2]</t>
  </si>
  <si>
    <t>70 to 140 bar Electrical Consumption [kWh-e/kg H2]</t>
  </si>
  <si>
    <t>70 to 200 bar Electrical Consumption [kWh-e/kg H2]</t>
  </si>
  <si>
    <t>80 to 140 bar Electrical Consumption [kWh-e/kg H2]</t>
  </si>
  <si>
    <t>80 to 200 bar Electrical Consumption [kWh-e/kg H2]</t>
  </si>
  <si>
    <t>140 to 200 bar Electrical Consumption [kWh-e/kg H2]</t>
  </si>
  <si>
    <t>Ramp up/down per hour [%]</t>
  </si>
  <si>
    <t>No information about it. Maximum flexibility is assumed due to its possible use in fueling vehicles.</t>
  </si>
  <si>
    <t>Estimated Production [kg H2 per hour LHV]</t>
  </si>
  <si>
    <t>1 kWh of H2 = 0,03 kg of H2 (all in LHV values). So 1 kW of H2 = 0,03 kg/hour of H2.</t>
  </si>
  <si>
    <t>Lifetime [years]</t>
  </si>
  <si>
    <t>Descentralized Medium Compressor 6 MW-H2 [200 bar - 700 bar]</t>
  </si>
  <si>
    <t xml:space="preserve"> 1 MW-H2 = 1 MW-e x Electrical efficiency</t>
  </si>
  <si>
    <t>4 | 4</t>
  </si>
  <si>
    <t>200 to 350 bar Electrical Consumption [kWh-e/kg H2]</t>
  </si>
  <si>
    <t>200 to 500 bar Electrical Consumption [kWh-e/kg H2]</t>
  </si>
  <si>
    <t>200 to 700 bar Electrical Consumption [kWh-e/kg H2]</t>
  </si>
  <si>
    <t xml:space="preserve">Liquefaction Plant </t>
  </si>
  <si>
    <t>CAPEX LHV [2021€/kg H2 per hour]</t>
  </si>
  <si>
    <t>DOE Hydrogen and Fuel Cells Program Record 19001: Current Status of Hydrogen Liquefaction Costs (energy.gov)</t>
  </si>
  <si>
    <t>The reference cost corresponds to the year 2016, so inflation must be applied until the year 2021 (x1,05). The exchange of currency from dollar to euro is applied on November 19, 2021 according to the European Central Bank ($ 1 = € 0.8872).</t>
  </si>
  <si>
    <t>OPEX fix [% CAPEX | (2021€/kg H2 per hour) per year]</t>
  </si>
  <si>
    <t>4 | 2942,41</t>
  </si>
  <si>
    <t>4 | 2656,65</t>
  </si>
  <si>
    <t>4 | 2312,74</t>
  </si>
  <si>
    <t>4 | 2132,6</t>
  </si>
  <si>
    <t>4 | 2013,36</t>
  </si>
  <si>
    <t>Supplementary_Materials_Manuscript_Chile_ET_RSER (els-cdn.com)</t>
  </si>
  <si>
    <t>OPEX var [2021€/kg H2]</t>
  </si>
  <si>
    <t>In theory, there is a percentage of the hydrogen that does not liquefy and, furthermore, at the time of loading the transport there are also leaks, but these quantities are reinjected into the plant.</t>
  </si>
  <si>
    <t>Electrical Consumption [kWh-e/kg H2]</t>
  </si>
  <si>
    <t>Electricity consumption depends on both the scale of the plant and the partial load, so an estimate is made according to the limits found in the references.</t>
  </si>
  <si>
    <t>IDEALHY_D3-16_Liquefaction_Report_web.pdf</t>
  </si>
  <si>
    <t>20201027-SRIA-CHE-final-draft.pdf (hydrogeneurope.eu)</t>
  </si>
  <si>
    <t>Input Pressure [bar]</t>
  </si>
  <si>
    <t>Atm-30 bar</t>
  </si>
  <si>
    <t>Microsoft Word - SalomÃ©LUSSON_Master thesis_SMN (diva-portal.org)</t>
  </si>
  <si>
    <t>In theory, a higher inlet hydrogen pressure would require less energy, but for simplicity it is not applied and furthermore no distinction is made between hydrogen arrival at 30 bar or Atm.</t>
  </si>
  <si>
    <t>20 | 40</t>
  </si>
  <si>
    <t>Min Load [%]</t>
  </si>
  <si>
    <t>Little information about it. The minimum is assumed equal to the partial load operating test evaluated in the reference.</t>
  </si>
  <si>
    <t>Estimated Production [Ton per day | kg H2 per hour LHV]</t>
  </si>
  <si>
    <t xml:space="preserve">Scaled from currently accepted sizes to future projections. </t>
  </si>
  <si>
    <t>LH2 Pump</t>
  </si>
  <si>
    <t>3 | 0,576</t>
  </si>
  <si>
    <t>https://doi.org/10.1016/B978-0-08-102629-8.00008-6</t>
  </si>
  <si>
    <t>Conservative value due to leakage between transport and the consumer.</t>
  </si>
  <si>
    <t>Estimated Production [ kg H2 per hour LHV]</t>
  </si>
  <si>
    <t>Ammonia Synthesis Unit (Haber-Bosch reaction + ASU)</t>
  </si>
  <si>
    <t>CAPEX LHV [2021€/Ton NH3 per year]</t>
  </si>
  <si>
    <t>-</t>
  </si>
  <si>
    <t>Total cost - Ammonia Storage. The subtracted cost corresponds to the cost of the natural gas burner estimated in this excel (-5,048 % of total cost).</t>
  </si>
  <si>
    <t>OPEX fix [% CAPEX|(2021€/Ton NH3 per year) per year]</t>
  </si>
  <si>
    <t>5 | 28,972</t>
  </si>
  <si>
    <t>OPEX var [2021€/kg NH3]</t>
  </si>
  <si>
    <t>Conversion rate [%]</t>
  </si>
  <si>
    <t>Temperature [°C]</t>
  </si>
  <si>
    <t>The inlet pressure is Atm but the working pressure is 150 bar.</t>
  </si>
  <si>
    <t>Electrical Consumption [kWh-e/kg NH3]</t>
  </si>
  <si>
    <t>1 kWh of NH3 = 0,193424 kg of NH3 and 1 kWh of H2 = 0,03 kg of H2 (all in LHV values). Efficiency is kWh of NH3 produced for every kWh of H2 needed.</t>
  </si>
  <si>
    <t>Heat output [kWh-th/kg NH3]</t>
  </si>
  <si>
    <t>H2 Consumption [kg H2/kg NH3]</t>
  </si>
  <si>
    <t>Estimated Production [Ton per year]</t>
  </si>
  <si>
    <t>CAPEX LHV [2021€/kg MeOH per hour]</t>
  </si>
  <si>
    <t>https://doi.org/10.1016/j.apenergy.2020.116273</t>
  </si>
  <si>
    <t>OPEX fix [% CAPEX|(2021€/kg MeOH per hour) per year]</t>
  </si>
  <si>
    <t>4 | 160,886</t>
  </si>
  <si>
    <t>OPEX var [2021€/kg MeOH]</t>
  </si>
  <si>
    <t>Like Ammonia Synthesis Unit, in a conservative approach, a conversion factor of 99% is assumed in this study to account for potential losses.</t>
  </si>
  <si>
    <t>https://doi.org/10.1016/j.ijhydene.2021.05.002</t>
  </si>
  <si>
    <t>The inlet pressure is Atm but the working pressure is 50 bar.</t>
  </si>
  <si>
    <t>(PDF) Energy analysis and surrogate modeling for the green methanol production under dynamic operating conditions (researchgate.net)</t>
  </si>
  <si>
    <t>https://www.mdpi.com/1996-1073/14/5/1392/pdf</t>
  </si>
  <si>
    <t>Electrical Consumption [kWh-e/kg MeOH]</t>
  </si>
  <si>
    <t>1 kWh of MeOH = 0,1805 kg of MeOH and 1 kWh of H2 = 0,03 kg of H2 (all in LHV values). Efficiency is kWh of MeOH produced for every kWh of H2 needed.</t>
  </si>
  <si>
    <t>Input CO2 [kg CO2/kg MeOH]</t>
  </si>
  <si>
    <t>Heat output [kWh-th/kg MeOH]</t>
  </si>
  <si>
    <t>H2 Consumption [kg H2/kg MeOH]</t>
  </si>
  <si>
    <t>Methanation Synthesis Unit (Sabatier reaction)</t>
  </si>
  <si>
    <t>CAPEX LHV [2021€/kg CH4 per hour]</t>
  </si>
  <si>
    <t>OPEX fix [% CAPEX|(2021€/kg CH4 per hour) per year]</t>
  </si>
  <si>
    <t>4,6 | 320,981</t>
  </si>
  <si>
    <t>4,6 | 235,301</t>
  </si>
  <si>
    <t>4,6 | 177,754</t>
  </si>
  <si>
    <t>4,6 | 157,933</t>
  </si>
  <si>
    <t>4,6 | 144,505</t>
  </si>
  <si>
    <t>4,6 | 130,439</t>
  </si>
  <si>
    <t>4,6 | 121,487</t>
  </si>
  <si>
    <t>OPEX var [2021€/kg CH4]</t>
  </si>
  <si>
    <t>300 - 350</t>
  </si>
  <si>
    <t>Typical range.</t>
  </si>
  <si>
    <t>For simplicity.</t>
  </si>
  <si>
    <t>https://doi.org/10.1016/j.apenergy.2019.113967</t>
  </si>
  <si>
    <t>Input CO2 [kg CO2/kg CH4]</t>
  </si>
  <si>
    <t>H2 Consumption [kg H2/kg CH4]</t>
  </si>
  <si>
    <t>1 kWh of CH4 = 0,071942 kg of CH4 and 1 kWh of H2 = 0,03 kg of H2 (all in LHV values). Efficiency is kWh of CH4 produced for every kWh of H2 needed.</t>
  </si>
  <si>
    <t>Hydrogen Pressure Reducer Valve [700 bar - Atm]</t>
  </si>
  <si>
    <t>Interface by which the pressure of hydrogen gas is reduced. For simplicity, a zero cost is assumed because it has a negligible cost.</t>
  </si>
  <si>
    <t>OPEX fix [% CAPEX|(2021€/kg H2 per hour) per year]</t>
  </si>
  <si>
    <t>Just a random value.</t>
  </si>
  <si>
    <t>Turboexpander 94,2 MW-e</t>
  </si>
  <si>
    <t>CAPEX LHV [2021€/kW-e]</t>
  </si>
  <si>
    <t>https://doi.org/10.1016/j.ijhydene.2015.10.032</t>
  </si>
  <si>
    <t>The salvaged value comes from the EXP4 of the reference, due to its scaling together with a salt cavern storage. The reference cost corresponds to the year 2016, so inflation must be applied until the year 2021 (x1,05). The exchange of currency from dollar to euro is applied on November 19, 2021 according to the European Central Bank (£ 1 = € 1,1915).</t>
  </si>
  <si>
    <t>OPEX fix [% CAPEX|2021€/kW-e per year]</t>
  </si>
  <si>
    <t>5 | 0,05545</t>
  </si>
  <si>
    <t>OPEX var [2021€/kW-e]</t>
  </si>
  <si>
    <t>No information about it. It will be equal to the loss per compressor in a conservative position.</t>
  </si>
  <si>
    <t>Output Pressure [bar]</t>
  </si>
  <si>
    <t>Electric Recovery [kWh-e/kg H2]</t>
  </si>
  <si>
    <t>https://publications.lib.chalmers.se/records/fulltext/254942/254942.pdf</t>
  </si>
  <si>
    <t>Research report (core.ac.uk)</t>
  </si>
  <si>
    <t>The reference cost corresponds to the year 2010, so inflation must be applied until the year 2021 (x1,14)</t>
  </si>
  <si>
    <t>3 | 5,5575</t>
  </si>
  <si>
    <t>192 | 8000</t>
  </si>
  <si>
    <t>Ammonia Cracker (Ni Catalyst)</t>
  </si>
  <si>
    <t>CAPEX LHV [2021€/Ton H2 per day]</t>
  </si>
  <si>
    <t>Total cost - NG burner. The subtracted cost corresponds to the cost of the natural gas burner estimated in this excel (-5,048 % of total cost).</t>
  </si>
  <si>
    <t>OPEX fix [% CAPEX|(2021€/Ton H2 per day) per year]</t>
  </si>
  <si>
    <t>4 | 9230</t>
  </si>
  <si>
    <t>https://doi.org/10.1016/j.ijhydene.2020.07.050</t>
  </si>
  <si>
    <t>H2 Recovery rate [%]</t>
  </si>
  <si>
    <t>PSA Recovery rate [%]</t>
  </si>
  <si>
    <t>Total Conversion rate [%]</t>
  </si>
  <si>
    <t>NH3 Consumption [kg NH3/kg H2]</t>
  </si>
  <si>
    <t>Thermal Consumption [kWh-th/kg H2]</t>
  </si>
  <si>
    <t>Estimated Production [Ton H2 per day | kg H2 per hour]</t>
  </si>
  <si>
    <t>350 | 14583,3</t>
  </si>
  <si>
    <t>The ramping will be the same in the ammonia synthesis unit only because the Haber-Bosch reaction was also designed for continuous loading.</t>
  </si>
  <si>
    <t>Large-scale NH3 dehydrogenation has rarely been considered in the literature. However, the process is rather similar to conventional steam methane reforming (SMR). Industrial SMR plants typically operate continuously with minimum loads of at least 30%.</t>
  </si>
  <si>
    <t>https://doi.org/10.1016/B978-0-12-820560-0.00009-6</t>
  </si>
  <si>
    <t>Methanol Cracker (Steam Reforming)</t>
  </si>
  <si>
    <t>Total cost - NG burner. The subtracted cost corresponds to the cost of the natural gas burner estimated in this excel (-4,4 % of total cost).</t>
  </si>
  <si>
    <t>OPEX fix [% CAPEX|2021€/(Ton H2 per day) per year]</t>
  </si>
  <si>
    <t>4,5 | 15054,8</t>
  </si>
  <si>
    <t>https://doi.org/10.1016/j.ijhydene.2020.06.097</t>
  </si>
  <si>
    <t>Estimated from the results obtained in the reference.</t>
  </si>
  <si>
    <t>MeOH Consumption [kg MeOH/kg H2]</t>
  </si>
  <si>
    <t>Water Consumption [m^3/kg H2]</t>
  </si>
  <si>
    <t>CO2 Emition [kg CO2/kg H2]</t>
  </si>
  <si>
    <t>The same amount required in Methanol Synthesis.</t>
  </si>
  <si>
    <t>MeOH dehydrogenation has been proven to be a flexible process at small scales, e.g., onboard vehicles, and operates at a relatively low temperature, which facilitates quick start-up. Nevertheless, the load flexibility of an industrial-scale MeOH reformer remains to be determined. For simplicity, it will be equal to the methanol synthesis unit.</t>
  </si>
  <si>
    <t>For simplicity, it will be equal to the methanol synthesis unit.</t>
  </si>
  <si>
    <t>351 | 14583,3</t>
  </si>
  <si>
    <t>352 | 14583,3</t>
  </si>
  <si>
    <t>353 | 14583,3</t>
  </si>
  <si>
    <t>354 | 14583,3</t>
  </si>
  <si>
    <t>355 | 14583,3</t>
  </si>
  <si>
    <t>Lifetime is estimated from a natural gas SMR.</t>
  </si>
  <si>
    <t>PV Fixed Tilted</t>
  </si>
  <si>
    <t>OPEX fix [2021€/kW-e per year]</t>
  </si>
  <si>
    <t>OPEX var [2021€/kWh-e]</t>
  </si>
  <si>
    <t>Water Consumption [mᶾ/kWh-e]</t>
  </si>
  <si>
    <t>https://doi.org/10.1016/j.energy.2021.121098</t>
  </si>
  <si>
    <t>Cooling.</t>
  </si>
  <si>
    <t>PV Single-Axis</t>
  </si>
  <si>
    <t>PV Rooftoop - Residential</t>
  </si>
  <si>
    <t>PV Rooftoop - Commercial</t>
  </si>
  <si>
    <t>PV Rooftoop - Industrial</t>
  </si>
  <si>
    <t>Electrolyzer PEM 100 MWe</t>
  </si>
  <si>
    <t>CAPEX [2021€/kW-e]</t>
  </si>
  <si>
    <t>https://doi.org/10.1016/j.apenergy.2020.114780</t>
  </si>
  <si>
    <t>Using a data extraction tool, the 2020, 2030 and 2050 costs are extracted. The remaining values ​​are obtained by interpolation. These values can be obtained with the curve y = -2,7044x^(3) + 52,652x^(2) - 390,55x + 1276 [y = efficiency and x = order of the year (2020 = 1; 2050 =  7)]. The reference cost corresponds to the year 2017, so inflation must be applied until the year 2021 (x1,04).</t>
  </si>
  <si>
    <t>OPEX fix [% CAPEX | 2021€/kW-e per year]</t>
  </si>
  <si>
    <t>2 | 19,5108</t>
  </si>
  <si>
    <t>2 | 14,0925</t>
  </si>
  <si>
    <t>2 | 10,5144</t>
  </si>
  <si>
    <t>2 | 8,1788</t>
  </si>
  <si>
    <t>2 | 6,112</t>
  </si>
  <si>
    <t>2 | 5,07566</t>
  </si>
  <si>
    <t>2 | 4,0664</t>
  </si>
  <si>
    <t>Microsoft Word - Final Report v9 (europa.eu)</t>
  </si>
  <si>
    <t>At higher scales (&gt; 20 MW) a reasonable OPEX appears to be close to 2%.</t>
  </si>
  <si>
    <t>Efficiency [% LHV]</t>
  </si>
  <si>
    <t>Hydrogen generation in Europe - Publications Office of the EU (europa.eu)</t>
  </si>
  <si>
    <t>The 2020, 2025, 2030 and 2050 values are extracted from the reference. The remaining values ​​are obtained by interpolation. These values can be obtained with the curve y = 57,023x^(0,1445) [y = efficiency and x = order of the year (2020 = 1; 2050 =  7)]. % LHV = % HHV/1,182. These values ​​are less optimistic compared to international references (IRENA projects up to 80% in 2050).</t>
  </si>
  <si>
    <t>In hydrogen production, kWh-e/kg H2= 33,333/Efficiency LHV or kWh-e/kg H2= 39,4/Efficiency HHV.</t>
  </si>
  <si>
    <r>
      <t>Water Consumption [m</t>
    </r>
    <r>
      <rPr>
        <sz val="11"/>
        <color theme="1"/>
        <rFont val="Calibri"/>
        <family val="2"/>
      </rPr>
      <t>ᶾ/kg H2]</t>
    </r>
  </si>
  <si>
    <t>Green hydrogen cost reduction (irena.org)</t>
  </si>
  <si>
    <t>From a pure, stoichiometric perspective, 1 kg of hydrogen requires 9 kg of water as input. Due to some inefficiencies in the process, however, taking into account the process of water demineralisation, with typical water consumption, the ratio can range between 18 kg and 24 kg of water per kilo of hydrogen. The largest water consumption is actually upstream and it is the highest when the electrolyser is coupled with PV. Water consumption for green hydrogen from PV can vary between 22 and 126 kg of water per kg of hydrogen depending on the solar radiation, lifetime and silicon content. To have a representative value for reality, an average is made between the maximum and minimum value in an electrolyzer coupled with a photovoltaic plant.</t>
  </si>
  <si>
    <t>Estimated Lifetime [years]</t>
  </si>
  <si>
    <t>https://ens.dk/sites/ens.dk/files/Analyser/technology_data_for_renewable_fuels.pdf</t>
  </si>
  <si>
    <t>Stack Lifetime [hours]</t>
  </si>
  <si>
    <t>https://op.europa.eu/en/publication-detail/-/publication/7e4afa7d-d077-11ea-adf7-01aa75ed71a1/language-en</t>
  </si>
  <si>
    <t>kg H2/hour = Capacity in kW/Electrical Consumption.</t>
  </si>
  <si>
    <t>Hydrogen from renewable power: Technology outlook for the energy transition (irena.org)</t>
  </si>
  <si>
    <t>In theory, it can ramp up about 100 % in seconds.</t>
  </si>
  <si>
    <t>An estimate is made from the three references.</t>
  </si>
  <si>
    <t>Pressure Out [bar]</t>
  </si>
  <si>
    <t>An estimate is made from the three references. The pressure of 80 bar is the maximum found in public information.</t>
  </si>
  <si>
    <t>Electrolyzer AEL 100 MWe</t>
  </si>
  <si>
    <t>Using a data extraction tool, the 2020, 2030 and 2050 costs are extracted. The remaining values ​​are obtained by interpolation. These values can be obtained with the curve y = -0,4727x^(4) + 7,5029x^(3) - 43,414x^(2) + 35,407x + 796,93 [y = efficiency and x = order of the year (2020 = 1; 2050 =  7)]. The reference cost corresponds to the year 2017, so inflation must be applied until the year 2021 (x1,04).</t>
  </si>
  <si>
    <t>2 | 16,5464</t>
  </si>
  <si>
    <t>2 | 15,574</t>
  </si>
  <si>
    <t>2 | 13,99</t>
  </si>
  <si>
    <t>2 | 12,62</t>
  </si>
  <si>
    <t>2 | 11,017</t>
  </si>
  <si>
    <t>2 | 9,45206</t>
  </si>
  <si>
    <t>2 | 7,40564</t>
  </si>
  <si>
    <t xml:space="preserve">The 2020, 2025, 2030 and 2050 values are extracted from the reference. The remaining values ​​are obtained by interpolation. These values can be obtained with the curve y = 63,451x^(0,1202) [y = efficiency and x = order of the year (2020 = 1; 2050 =  7)]. % LHV = % HHV/1,182. </t>
  </si>
  <si>
    <t>https://www.irena.org/publications/2020/Dec/Green-hydrogen-cost-reduction</t>
  </si>
  <si>
    <t>In theory, it can ramp up about 20 % in seconds.</t>
  </si>
  <si>
    <t>An estimate is made from the three references. The change from 30 bar to 70 bar has occurred in recent years due to lack of information. Only IRENA makes this projection to 2050.</t>
  </si>
  <si>
    <t>On-site Electrolyzer PEM 10 MWe</t>
  </si>
  <si>
    <t>Using a data extraction tool, the 2020, 2030 and 2050 costs are extracted. The remaining values ​​are obtained by interpolation. These values can be obtained with the curve y = 22,833x^(2) - 320,83x + 1388 [y = efficiency and x = order of the year (2020 = 1; 2050 =  7)]. The reference cost corresponds to the year 2017, so inflation must be applied until the year 2021 (x1,04). Within the on-site group, 200 kg H2 / hour is large scale.</t>
  </si>
  <si>
    <t>4 | 45,344</t>
  </si>
  <si>
    <t>4 | 34,8471552</t>
  </si>
  <si>
    <t>4 | 26,2496</t>
  </si>
  <si>
    <t>4 | 19,552</t>
  </si>
  <si>
    <t>4 | 14,754688</t>
  </si>
  <si>
    <t>4 | 11,856416</t>
  </si>
  <si>
    <t>4 | 10,8576</t>
  </si>
  <si>
    <t>At on-site scales (1 - 10 MW) a conservatuve OPEX is used (4%).</t>
  </si>
  <si>
    <t>Same efficiency as 100 MW PEM electrolyzer</t>
  </si>
  <si>
    <t>On-site Electrolyzer AEL 10 MWe</t>
  </si>
  <si>
    <t>Using a data extraction tool, the 2020, 2030 and 2050 costs are extracted. The remaining values ​​are obtained by interpolation. These values can be obtained with the curve y = - 4,0833x^(2) - 54,167x + 1024,3 [y = efficiency and x = order of the year (2020 = 1; 2050 =  7)]. The reference cost corresponds to the year 2017, so inflation must be applied until the year 2021 (x1,04). Within the on-site group, 200 kg H2 / hour is large scale.</t>
  </si>
  <si>
    <t>4 | 40,1856</t>
  </si>
  <si>
    <t>4 | 37,42336</t>
  </si>
  <si>
    <t>4 | 34,32</t>
  </si>
  <si>
    <t>4 | 30,87968</t>
  </si>
  <si>
    <t>4 | 27,09824</t>
  </si>
  <si>
    <t>4 | 22,97568</t>
  </si>
  <si>
    <t>4 | 18,512</t>
  </si>
  <si>
    <t>Same efficiency as 100 MW AEL electrolyzer.</t>
  </si>
  <si>
    <t>On-site Compressor [5-700 bar]</t>
  </si>
  <si>
    <t>https://www.hydrogeneurope.eu/wp-content/uploads/2021/04/20201027-SRIA-CHE-final-draft.pdf</t>
  </si>
  <si>
    <t>HHV of 1 kg H2 = 39,4 kWh-H2 and LHV of 1 kg H2 = 33,333 kWh-H2. Therefore, to convert from one value to another, multiply the ratio HHV / LHV = 1,182. From 2030 onwards, it is extrapolated linearly through a line.</t>
  </si>
  <si>
    <t>4 | 1147,2019</t>
  </si>
  <si>
    <t>4 | 960,004</t>
  </si>
  <si>
    <t>4 | 480</t>
  </si>
  <si>
    <t>4 | 400</t>
  </si>
  <si>
    <t>4 | 333,33</t>
  </si>
  <si>
    <t>4 | 266,664</t>
  </si>
  <si>
    <t>4 | 200</t>
  </si>
  <si>
    <t>Atm to 700 bar Electrical Consumption [kWh-e/kg H2]</t>
  </si>
  <si>
    <t xml:space="preserve"> 15 to 700 bar Electrical Consumption [kWh-e/kg H2]</t>
  </si>
  <si>
    <t xml:space="preserve"> 30 to 700 bar Electrical Consumption [kWh-e/kg H2]</t>
  </si>
  <si>
    <t xml:space="preserve"> 60 to 700 bar Electrical Consumption [kWh-e/kg H2]</t>
  </si>
  <si>
    <t xml:space="preserve"> 70 to 700 bar Electrical Consumption [kWh-e/kg H2]</t>
  </si>
  <si>
    <t xml:space="preserve"> 80 to 700 bar Electrical Consumption [kWh-e/kg H2]</t>
  </si>
  <si>
    <t>~ 200</t>
  </si>
  <si>
    <t>Type I Pressurised GH2 Storage 30 bar</t>
  </si>
  <si>
    <t>CAPEX LHV [2021€/kg H2]</t>
  </si>
  <si>
    <t>OPEX fix [% CAPEX | 2021€/kg H2 per year]</t>
  </si>
  <si>
    <t>1 | 4,9</t>
  </si>
  <si>
    <t>Losses [% H2/day | % H2/hour]</t>
  </si>
  <si>
    <r>
      <t>Capacity [</t>
    </r>
    <r>
      <rPr>
        <sz val="11"/>
        <color theme="1"/>
        <rFont val="Calibri"/>
        <family val="2"/>
      </rPr>
      <t>kg H2]</t>
    </r>
  </si>
  <si>
    <t>Cycles per year [c/year]</t>
  </si>
  <si>
    <t>It is assumed that it can be filled-unloaded once a day.</t>
  </si>
  <si>
    <t>Max charge/discharge [%/h]</t>
  </si>
  <si>
    <t>It is assumed that it can be completely discharged in one day, that is, 100% / 24 hours = 4.2% per hour</t>
  </si>
  <si>
    <t>Aboveground Hydrogen Storage 200 bar (Type I)</t>
  </si>
  <si>
    <t>CAPEX [2021€/kg H2]</t>
  </si>
  <si>
    <t>https://doi.org/10.1016/j.rser.2020.110171</t>
  </si>
  <si>
    <t>4 | 15,2</t>
  </si>
  <si>
    <t>Pressurized tanks are used for mobile transport of hydrogen and on a small-scale level. The advantages of such a technology are the high discharge rate and efficiencies in the order of 99%, which makes it a suitable candidate of 
small-scale hydrogen storage for the purpose of readily available feedstock.</t>
  </si>
  <si>
    <t>Hydrogen storage 350 bar</t>
  </si>
  <si>
    <t>https://doi.org/10.1016/B978-0-12-820560-0.00002-3</t>
  </si>
  <si>
    <t>3 | 18,8442</t>
  </si>
  <si>
    <t>https://www.researchgate.net/profile/Arman-Aghahosseini/publication/321344382_The_role_of_hydrogen_production_in_100_renewable_energy_systems_in_the_power_and_industrial_gas_sectors/links/5c652de5a6fdccb608c12a93/The-role-of-hydrogen-production-in-100-renewable-energy-systems-in-the-power-and-industrial-gas-sectors.pdf?origin=publication_detail</t>
  </si>
  <si>
    <t xml:space="preserve"> It is assumed that it can be completely discharged in one day, that is, 100% / 24 hours = 4.2% per hour</t>
  </si>
  <si>
    <t>Hydrogen storage 700 bar (Type IV)</t>
  </si>
  <si>
    <t>https://doi.org/10.1016/B978-0-12-820560-0.00008-4</t>
  </si>
  <si>
    <t>The exchange of currency from dollar to euro is applied on November 19, 2021 according to the European Central Bank ($ 1 = € 0.8872). This type of storage will improve in the future. Require more investigation.</t>
  </si>
  <si>
    <t>3 | 12,2434</t>
  </si>
  <si>
    <t xml:space="preserve"> </t>
  </si>
  <si>
    <t>No restriction.</t>
  </si>
  <si>
    <t>COPV Hydrogen Storage Vessels | Hydrogen Cylinders | Steelhead Composites</t>
  </si>
  <si>
    <t>Maximum flexibility is assumed due to its possible use in fueling light vehicles. It is assumed that it can be completely discharged in one hour due its extreme cycling.</t>
  </si>
  <si>
    <t xml:space="preserve"> -253 °C Large Cryogenic LH2 Storage</t>
  </si>
  <si>
    <t>4 | 1</t>
  </si>
  <si>
    <t>1,35 | 0,05625</t>
  </si>
  <si>
    <t>https://energeia-binary-external-prod.imgix.net/Ev5fBfgzH3mvL3FOErMDpw0D3Zg.pdf?dl=DNV+GL+-+Hydrogen+in+the+Electricity+Value+Chain.pdf</t>
  </si>
  <si>
    <t>Salt Cavern GH2 200 bar</t>
  </si>
  <si>
    <t>HHV of 1 kg H2 = 39,4 kWh and LHV of 1 kg H2 = 33,333 kWh. Therefore, to convert from one value to another, multiply the ratio HHV / LHV = 1,182 |  1 kWh of H2 = 0,03 kg of H2 (all in LHV values) | The values ​​corresponding to the years 2025, 2035 and 2045 were linearly interpolated due to the closeness between their values.</t>
  </si>
  <si>
    <t>4 | 0,43542</t>
  </si>
  <si>
    <t>4 | 0,42865</t>
  </si>
  <si>
    <t>4 | 0,42188</t>
  </si>
  <si>
    <t>4 | 0,41963</t>
  </si>
  <si>
    <t>4 | 0,41737</t>
  </si>
  <si>
    <t>4 | 0,4157</t>
  </si>
  <si>
    <t>4 | 0,414</t>
  </si>
  <si>
    <t>Buried Pipeline GH2 Storage 200 bar</t>
  </si>
  <si>
    <t>HHV of 1 kg H2 = 39,4 kWh and LHV of 1 kg H2 = 33,333 kWh. Therefore, to convert from one value to another, multiply the ratio HHV / LHV = 1,182 |  1 kWh of H2 = 0,03 kg of H2 (all in LHV values).</t>
  </si>
  <si>
    <t>2 | 6,12521</t>
  </si>
  <si>
    <t>https://doi.org/10.1016/B978-1-78242-364-5.00007-5</t>
  </si>
  <si>
    <t>The reference works with smaller amounts and lower pressures, but due to the little information on the technology, it will be considered acceptable.</t>
  </si>
  <si>
    <t xml:space="preserve"> -33 °C Refrigerated Ammonia Storage 33000 Ton</t>
  </si>
  <si>
    <t>CAPEX [2021€/kg NH3]</t>
  </si>
  <si>
    <t>OPEX fix [% CAPEX | 2021€/kg NH3 per year]</t>
  </si>
  <si>
    <t>4 | 0,025</t>
  </si>
  <si>
    <t>Losses [% NH3/day | % NH3/hour]</t>
  </si>
  <si>
    <t>0,03 | 0,00125</t>
  </si>
  <si>
    <t>Boil-off losses.</t>
  </si>
  <si>
    <r>
      <t>Capacity [</t>
    </r>
    <r>
      <rPr>
        <sz val="11"/>
        <color theme="1"/>
        <rFont val="Calibri"/>
        <family val="2"/>
      </rPr>
      <t>kg NH3]</t>
    </r>
  </si>
  <si>
    <t>Methanol storage</t>
  </si>
  <si>
    <t>CAPEX [2021€/kg MeOH]</t>
  </si>
  <si>
    <t>https://doi.org/10.1016/j.egypro.2017.03.1155</t>
  </si>
  <si>
    <t>The reference cost corresponds to the year 2017, so inflation must be applied until the year 2021 (x1,04).</t>
  </si>
  <si>
    <t>OPEX fix [% CAPEX | 2021€/kg MeOH per year]</t>
  </si>
  <si>
    <t>1,5 | 0,000905</t>
  </si>
  <si>
    <t>Losses [% MeOH/day | % MeOH/hour]</t>
  </si>
  <si>
    <r>
      <t>Capacity [</t>
    </r>
    <r>
      <rPr>
        <sz val="11"/>
        <color theme="1"/>
        <rFont val="Calibri"/>
        <family val="2"/>
      </rPr>
      <t>kg MeOH]</t>
    </r>
  </si>
  <si>
    <t>Due to lack of information, it is assumed equal to that of the methanol plant.</t>
  </si>
  <si>
    <t>Methane storage (Gas Storage)</t>
  </si>
  <si>
    <t>CAPEX [2021€/kg CH4]</t>
  </si>
  <si>
    <t>OPEX fix [% CAPEX | 2021€/kg CH4 per year]</t>
  </si>
  <si>
    <t>2 | 0,01392</t>
  </si>
  <si>
    <t>Losses [% CH4/day | % CH4/hour]</t>
  </si>
  <si>
    <r>
      <t>Capacity [</t>
    </r>
    <r>
      <rPr>
        <sz val="11"/>
        <color theme="1"/>
        <rFont val="Calibri"/>
        <family val="2"/>
      </rPr>
      <t>kg CH4]</t>
    </r>
  </si>
  <si>
    <t>Li-Ion Battery Storage</t>
  </si>
  <si>
    <t>CAPEX LHV [2021€/kWh-e]</t>
  </si>
  <si>
    <t>OPEX fix [2021€/kWh-e per year]</t>
  </si>
  <si>
    <t>Self-discharge [%/day | %/hour]</t>
  </si>
  <si>
    <t>2 | 0,083333</t>
  </si>
  <si>
    <t>1-s2.0-S0360544221007167-mmc1.pdf (els-cdn.com)</t>
  </si>
  <si>
    <r>
      <t>Capacity [</t>
    </r>
    <r>
      <rPr>
        <sz val="11"/>
        <color theme="1"/>
        <rFont val="Calibri"/>
        <family val="2"/>
      </rPr>
      <t>kWh-e]</t>
    </r>
  </si>
  <si>
    <t>Efficiency [%]</t>
  </si>
  <si>
    <t>It corresponds to the efficiency of loading and unloading through the technology interface, which, in this case, is the same for both states. It is the factor by which it multiplies in the charge and divides in the discharge.</t>
  </si>
  <si>
    <t>Energy-to-Power ratio Min | Max</t>
  </si>
  <si>
    <t>1 | 6</t>
  </si>
  <si>
    <t>Cycles [c]</t>
  </si>
  <si>
    <t>Losses [%/day | %/hour]</t>
  </si>
  <si>
    <t>Sea PHES Storage</t>
  </si>
  <si>
    <t>https://doi.org/10.1016/j.renene.2021.09.009</t>
  </si>
  <si>
    <t>1 | 0,04167</t>
  </si>
  <si>
    <t>1 | 20</t>
  </si>
  <si>
    <t>A-CAES Storage</t>
  </si>
  <si>
    <t>2,4 | 0,1</t>
  </si>
  <si>
    <t>1 | 100</t>
  </si>
  <si>
    <t>1-s2.0-S0360544220306149-mmc1.pdf (els-cdn.com)</t>
  </si>
  <si>
    <t>100 MWe Solar Tower Steam Turbine (Power Block)</t>
  </si>
  <si>
    <t>Assessment of mid-term growth assumptions and learning rates for comparative studies of CSP and hybrid PV-battery power plants (scitation.org)</t>
  </si>
  <si>
    <t>In theory, the thermal conversion of a solar tower plant is better than in the case of a parabolic trough. However, for the second reference it is prudent to keep the same Power Block cost.</t>
  </si>
  <si>
    <t>It corresponds to the efficiency of change from thermal kW to electric kW.</t>
  </si>
  <si>
    <t>Cooling. Maximum value.</t>
  </si>
  <si>
    <t>Estimating the Flexibility Benefit of Concentrating Solar Plants in Electricity Markets | IEEE Conference Publication | IEEE Xplore (oclc.org)</t>
  </si>
  <si>
    <t>Estimated Inlet Temperature [°C]</t>
  </si>
  <si>
    <t>https://www.irena.org/-/media/Files/IRENA/Agency/Publication/2012/RE_Technologies_Cost_Analysis-CSP.pdf</t>
  </si>
  <si>
    <t>Estimated Outlet Temperature [°C]</t>
  </si>
  <si>
    <t>~100</t>
  </si>
  <si>
    <t>100 MWe Parabolic Through Steam Turbine (Power Block)</t>
  </si>
  <si>
    <t>It is estimated equal to the case of solar tower.</t>
  </si>
  <si>
    <t>~80</t>
  </si>
  <si>
    <t>Energies | Free Full-Text | A Review of Small–Medium Combined Heat and Power (CHP) Technologies and Their Role within the 100% Renewable Energy Systems Scenario (mdpi.com)</t>
  </si>
  <si>
    <t>CAPEX LHV [2021€/kW-th]</t>
  </si>
  <si>
    <t>OPEX fix [% CAPEX|2021€/kW-th per year]</t>
  </si>
  <si>
    <t>2,3 | 7,9</t>
  </si>
  <si>
    <t>2,3 | 7</t>
  </si>
  <si>
    <t>2,3 | 6,3</t>
  </si>
  <si>
    <t>2,3 | 5,8</t>
  </si>
  <si>
    <t>2,3 | 5,3</t>
  </si>
  <si>
    <t>2,3 | 4,9</t>
  </si>
  <si>
    <t>2,3 | 4,5</t>
  </si>
  <si>
    <t>OPEX var [2021€/kWh-th]</t>
  </si>
  <si>
    <t>Solar Multiple</t>
  </si>
  <si>
    <t>The cost is obtained by reducing the cost of the parabolic cylinder solar field of the first reference by the ratio between the cost of the solar tower and the parabolic cylinder of the second reference.</t>
  </si>
  <si>
    <t>For the years 2020 and 2025, the cost ratio will be used for the "high" case, closing the value at 8%. For the years 2030 onwards, the ratio in each case is very similar and will approach 8.5%.</t>
  </si>
  <si>
    <t>https://publications.jrc.ec.europa.eu/repository/handle/JRC109894</t>
  </si>
  <si>
    <t>The estimation problem would be if in the future there was a cross cost, that is, that one technology becomes cheaper than the other. The third reference supports that in his study, this crossing does not occur, so the solar tower will always be cheaper.</t>
  </si>
  <si>
    <t>2,3 | 7,3365</t>
  </si>
  <si>
    <t>2,3 | 6,4655</t>
  </si>
  <si>
    <t>2,3 | 5,8231</t>
  </si>
  <si>
    <t>2,3 | 5,3228</t>
  </si>
  <si>
    <t>2,3 | 4,8798</t>
  </si>
  <si>
    <t>2,3 | 4,4919</t>
  </si>
  <si>
    <t>2,3 | 4,1548</t>
  </si>
  <si>
    <t>Parabolic Through Molten Salt Heat Storage (High Temperature 400 °C)</t>
  </si>
  <si>
    <t>CAPEX [2021€/kWh-th]</t>
  </si>
  <si>
    <t>https://ars.els-cdn.com/content/image/1-s2.0-S1364032121008352-mmc1.pdf</t>
  </si>
  <si>
    <t>OPEX fix [% CAPEX|2021€/kWh-th per year]</t>
  </si>
  <si>
    <t>1,5 | 0,63</t>
  </si>
  <si>
    <t>1,5 | 0,49</t>
  </si>
  <si>
    <t>1,5 | 0,4</t>
  </si>
  <si>
    <t>1,5 | 0,35</t>
  </si>
  <si>
    <t>1,5 | 0,32</t>
  </si>
  <si>
    <t>1,5 | 0,29</t>
  </si>
  <si>
    <t>1,5 | 0,26</t>
  </si>
  <si>
    <t>4,8 |0,2</t>
  </si>
  <si>
    <r>
      <t>Estimated Capacity [</t>
    </r>
    <r>
      <rPr>
        <sz val="11"/>
        <color theme="1"/>
        <rFont val="Calibri"/>
        <family val="2"/>
      </rPr>
      <t>kW-th]</t>
    </r>
  </si>
  <si>
    <t>~ 2500000</t>
  </si>
  <si>
    <t>Capacity = (Steam turbine capacity x TES hours) /Steam turbine efficiency. Efficiency changes over the years, so a generic estimate is made between the range of values.</t>
  </si>
  <si>
    <t>It corresponds to the efficiency of loading and unloading through the technology interface, which, in this case, is Solar Field for charging and Power Block for discharging. It is the factor by which it multiplies in the charge and divides in the discharge.</t>
  </si>
  <si>
    <t>Cycles per year [c]</t>
  </si>
  <si>
    <t>No limitation.</t>
  </si>
  <si>
    <t>It is limited to the maximum capacity of the steam turbine. Reference storage applies 10 hours, so 10% of maximum capacity can be charged / discharged every hour.</t>
  </si>
  <si>
    <t>Solar Tower Molten Salt Heat Storage (High Temperature 565 °C)</t>
  </si>
  <si>
    <t>https://www.nrel.gov/docs/fy12osti/53066.pdf</t>
  </si>
  <si>
    <t>The cost is obtained by reducing the cost of the 400°C Molten Salt. The cost projection is the same, because it is the same type of solar salt but with a higher thermal energy, that is, the total cost of the equipment is divided by a greater amount of thermal energy. In the reference, the cost associated with the range between 400-450 ° C is similar by changing the currency rate and applying inflation since 2011. Knowing this, the reference cost for 565 ° C is used for the year 2020 and Proportional cost reductions apply to 400 ° C storage. The cost of 25 $ / kWth is chosen for 565 ° C. The reference cost corresponds to the year 2011, so inflation must be applied until the year 2021 (x1,11). The exchange of currency from dollar to euro is applied on November 19, 2021 according to the European Central Bank ($ 1 = € 0.8872). At this base value (24,62), it is divided by the rate of change between years of storage at 400 ° C (Capex 2020 / Capex year). These values ​​correspond to 1,27829; 1,5597; 1,79399; 1,99048; 2,1658 and 2,38857 for the years 2025, 2030, 2035, 2040, 2045 and 2050 respectively.</t>
  </si>
  <si>
    <t>1,5 | 0,3693</t>
  </si>
  <si>
    <t>1,5 | 0,2889</t>
  </si>
  <si>
    <t>1,5 | 0,23678</t>
  </si>
  <si>
    <t>1,5 | 0,2059</t>
  </si>
  <si>
    <t>1,5 | 0,1855</t>
  </si>
  <si>
    <t>1,5 | 0,1705</t>
  </si>
  <si>
    <t>1,5 | 0,1546</t>
  </si>
  <si>
    <t>Medium Duty Truck FC</t>
  </si>
  <si>
    <r>
      <t>TCO [2021€</t>
    </r>
    <r>
      <rPr>
        <sz val="11"/>
        <color theme="1"/>
        <rFont val="Calibri"/>
        <family val="2"/>
      </rPr>
      <t>/Ton* km]</t>
    </r>
  </si>
  <si>
    <t>https://hydrogencouncil.com/wp-content/uploads/2020/01/Path-to-Hydrogen-Competitiveness_Full-Study-1.pdf</t>
  </si>
  <si>
    <t xml:space="preserve">Using a data extraction tool, the MDT points for regional transport of 13 tons and 500 km of range are obtained (page 37 of the document). These values can be obtained with the curve y = 0,0866x^(-0,439) [y = TCO and x =order of the year (2020 = 1; 2050 =  7)]. Once these points are obtained, the values ​​for the years 2035 and 2045 are linearly interpolated. These values ​​are multiplied by 40% of the value (since 60% correspond to fuel expenses) and finally the currency is converted. The exchange of currency from dollar to euro is applied on November 19, 2021 according to the European Central Bank ($ 1 = € 0.8872). </t>
  </si>
  <si>
    <t>Fuel-cell system efficiency [%]</t>
  </si>
  <si>
    <t>https://repository.tudelft.nl/islandora/object/uuid:1225ee00-7bb3-4628-8906-e988a4dde2b8/datastream/OBJ1/download</t>
  </si>
  <si>
    <t>The efficiency of 2020 is 60 % (1st reference), 2030 is 68 % and 2050 is 72 % (2nd reference). The remaining values ​​are obtained by interpolation. These values can be obtained with the curve y = 60,223x^(0,0931) [y = efficiency and x = order of the year (2020 = 1; 2050 =  7)].</t>
  </si>
  <si>
    <t>DOE Hydrogen and Fuel Cells Program Record 19006: Hydrogen Class 8 Long Haul Truck Targets (energy.gov)</t>
  </si>
  <si>
    <t>Electric motor efficiency [%]</t>
  </si>
  <si>
    <t>Total efficiency [%]</t>
  </si>
  <si>
    <t>Fuell-cell efficiency multiplicated with motor efficiency.</t>
  </si>
  <si>
    <t>Wheel Power demand [kWh-e/km]</t>
  </si>
  <si>
    <t>H2 Consumption [kg H2/km]</t>
  </si>
  <si>
    <t>Wheel Power demand multiplicated with Total efficiency. 1 kWh of H2 = 0,03 kg of H2 (all in LHV values).</t>
  </si>
  <si>
    <t>This value is not used.</t>
  </si>
  <si>
    <t>Average Speed [km/h]</t>
  </si>
  <si>
    <t>technology_data_for_energy_transport.pdf (ens.dk)</t>
  </si>
  <si>
    <t>Working Pressure [bar]</t>
  </si>
  <si>
    <t>It is the pressure in the tank of the truck that must be supplied by hydrogen at this pressure.</t>
  </si>
  <si>
    <r>
      <t>CAPEX [</t>
    </r>
    <r>
      <rPr>
        <sz val="11"/>
        <color theme="1"/>
        <rFont val="Calibri"/>
        <family val="2"/>
      </rPr>
      <t>2021€/kg H2]</t>
    </r>
  </si>
  <si>
    <t>Payload [kg H2]</t>
  </si>
  <si>
    <t>2 | 15,278</t>
  </si>
  <si>
    <t>Load/Unload Time [h]</t>
  </si>
  <si>
    <t>Most conservative value.</t>
  </si>
  <si>
    <t>The reference cost corresponds to the year 2019, so inflation must be applied until the year 2021 (x1,01).</t>
  </si>
  <si>
    <t>2 | 9,4267</t>
  </si>
  <si>
    <t>Same as the rest of the trailers.</t>
  </si>
  <si>
    <t>2 | 9</t>
  </si>
  <si>
    <t>https://abstracts.boku.ac.at/download.php?dataset_id=20961&amp;property_id=107#:~:text=An%20efficient%20and%20cost%2Deffective,crucial%20for%20its%20appli%2D%20cation.&amp;text=A%20500%20km%20transport%20overseas,the%20most%20cost%2Defficient%20option.</t>
  </si>
  <si>
    <t>2 | 7</t>
  </si>
  <si>
    <t>LH2 Trailer</t>
  </si>
  <si>
    <t>2 | 3,82222</t>
  </si>
  <si>
    <t>Losses [% H2/day | % H2/h]</t>
  </si>
  <si>
    <t>0,6 | 0,025</t>
  </si>
  <si>
    <t>0,3 | 0,0125</t>
  </si>
  <si>
    <t>0,1 | 0,00417</t>
  </si>
  <si>
    <t>0,05 | 0,0021</t>
  </si>
  <si>
    <t>In theory, under a certain time limit there is no evaporation of liquid hydrogen, but due to the lack of criteria to determine it, conservative values ​​are considered. Improving materials will reduce evaporation of the material over time.</t>
  </si>
  <si>
    <r>
      <t>CAPEX [</t>
    </r>
    <r>
      <rPr>
        <sz val="11"/>
        <color theme="1"/>
        <rFont val="Calibri"/>
        <family val="2"/>
      </rPr>
      <t>2021€/kg NH3]</t>
    </r>
  </si>
  <si>
    <t>Microsoft Word - Final Report.doc (osti.gov)</t>
  </si>
  <si>
    <t>The reference cost corresponds to the year 2006, so inflation must be applied until the year 2021 (x1,23). The exchange of currency from dollar to euro is applied on November 19, 2021 according to the European Central Bank ($ 1 = € 0.8872).</t>
  </si>
  <si>
    <t>Payload [kg NH3]</t>
  </si>
  <si>
    <t>2 | 0,96</t>
  </si>
  <si>
    <t>OPEX var [2021€/kg NH3 per km]</t>
  </si>
  <si>
    <t>Losses [% NH3]</t>
  </si>
  <si>
    <r>
      <t>CAPEX [</t>
    </r>
    <r>
      <rPr>
        <sz val="11"/>
        <color theme="1"/>
        <rFont val="Calibri"/>
        <family val="2"/>
      </rPr>
      <t>2021€/kg MeOH]</t>
    </r>
  </si>
  <si>
    <t>Payload [kg MeOH]</t>
  </si>
  <si>
    <t>Data is assumed from a LOHC trailer.</t>
  </si>
  <si>
    <t>OPEX var [2021€/kg MeOH per km]</t>
  </si>
  <si>
    <t>Losses [% MeOH]</t>
  </si>
  <si>
    <t>Water Trailer 42 mᶾ</t>
  </si>
  <si>
    <r>
      <t>Capex [</t>
    </r>
    <r>
      <rPr>
        <sz val="11"/>
        <color theme="1"/>
        <rFont val="Calibri"/>
        <family val="2"/>
      </rPr>
      <t>2021€/mᶾ]</t>
    </r>
  </si>
  <si>
    <t>water trailers farm water tank semi trailers semi water tanker trailers for sale (titanvehicle.com)</t>
  </si>
  <si>
    <t>The exchange of currency from dollar to euro is applied on November 19, 2021 according to the European Central Bank ($ 1 = € 0.8872).</t>
  </si>
  <si>
    <t>Payload [mᶾ | kg]</t>
  </si>
  <si>
    <t>42 | 42000</t>
  </si>
  <si>
    <t>Density of water for 4 °C = 1000 kg/mᶾ.</t>
  </si>
  <si>
    <t>OPEX fix [% CAPEX | 2021€/mᶾ per year]</t>
  </si>
  <si>
    <t>2 | 5,7034</t>
  </si>
  <si>
    <t>The same % as the rest is assumed because it is repeated in all cases.</t>
  </si>
  <si>
    <t>OPEX var [2021€/mᶾ per hour]</t>
  </si>
  <si>
    <t>The same lifetime is assumed as for hydrogen trailers.</t>
  </si>
  <si>
    <t>Losses [% Water]</t>
  </si>
  <si>
    <t>Water Hauling Draft — M.A. Haskell &amp; Sons Trucking (haskelltrucking.com)</t>
  </si>
  <si>
    <t>No information about it. Just a random value.</t>
  </si>
  <si>
    <t>70 bar GH2 Underground Pipeline 15000 MW-H2</t>
  </si>
  <si>
    <r>
      <t>CAPEX [</t>
    </r>
    <r>
      <rPr>
        <sz val="11"/>
        <color theme="1"/>
        <rFont val="Calibri"/>
        <family val="2"/>
      </rPr>
      <t>2021€/(km*kg H2 per hour)]</t>
    </r>
  </si>
  <si>
    <t>https://ens.dk/sites/ens.dk/files/Analyser/technology_data_for_energy_transport.pdf</t>
  </si>
  <si>
    <t>The cost includes the Pipe, Isolation&amp;Vent station and Boost compressors. The equations are found in Fig 15 on page 130 of the document, where the costs obtained are 217,731 ; 1,28012 and 20,9292 respectively (in € / [km * MW]). Following this, the total MW is multiplied (15000 in HHV value) and finally divided by kg / h in LHV (450000). The reference cost corresponds to the year 2015, so inflation must be applied until the year 2021 (x1,05).</t>
  </si>
  <si>
    <t>Mass Flow [Ton/day | kg H2/h]</t>
  </si>
  <si>
    <t>10800 | 450000</t>
  </si>
  <si>
    <t>Electrical Consumption [%/MW*km]</t>
  </si>
  <si>
    <t>This consumption accounts for the compression required to compensate for losses as a result of fluid frictional loss (pressure drop) in the pipelines. The consumption to reach the working pressure is not included here. Losses (manifested as electricity consumption) are derived from the excel associated with the reference. The lines 5000-20000 MW values ​​are extracted, for 2020 (2.2% / MW*1000km), 2030 (2% / MW*1000km) and 2050 (1.8% / MW*1000km). The 2020 percentage is replicated to 2025; the percentage from 2030 is replicated for 2035 and 2040; the percentage from 2050 is replicated to 2045. Finally, these values ​​are divided by 1000 (% / MW * km).</t>
  </si>
  <si>
    <t>Diamenter [inch]</t>
  </si>
  <si>
    <t>OPEX fix [% CAPEX | 2021€/(km*kg H2 per hour) per year]</t>
  </si>
  <si>
    <t>4 | 0,335916448</t>
  </si>
  <si>
    <t>2 | 0,167958224</t>
  </si>
  <si>
    <t>1,5 | 0,125968668</t>
  </si>
  <si>
    <t>The 2020 percentage is replicated to 2025; the percentage from 2030 is replicated for 2035 and 2040; the percentage from 2050 is replicated to 2045.</t>
  </si>
  <si>
    <t>OPEX var [2021€/km*kg H2]</t>
  </si>
  <si>
    <t>140 bar GH2 Underground Pipeline 20000 MW-H2</t>
  </si>
  <si>
    <t>The cost includes the Pipe, Isolation&amp;Vent station and Boost compressors. The equations are found in Fig 15 on page 130 of the document, where the costs obtained are 218,781 ; 0,911513 and 4,6153 respectively (in € / [km * MW]). Following this, the total MW is multiplied (20000 in HHV value) and finally divided by kg / h in LHV (600000). The reference cost corresponds to the year 2015, so inflation must be applied until the year 2021 (x1,05).</t>
  </si>
  <si>
    <t>14400 | 600000</t>
  </si>
  <si>
    <t>This consumption accounts for the compression required to compensate for losses as a result of fluid frictional loss (pressure drop) in the pipelines. The consumption to reach the working pressure is not included here. Losses (manifested as electricity consumption) are derived from the excel associated with the reference. The lines 5000-20000 MW values ​​are extracted, for 2020 (2.1% / MW*1000km), 2030 (1,9% / MW*1000km) and 2050 (1.7% / MW*1000km). The 2020 percentage is replicated to 2025; the percentage from 2030 is replicated for 2035 and 2040; the percentage from 2050 is replicated to 2045. Finally, these values ​​are divided by 1000 (% / MW * km).</t>
  </si>
  <si>
    <t>4 | 0,3140309382</t>
  </si>
  <si>
    <t>2 | 0,1570154691</t>
  </si>
  <si>
    <t>1,5 | 0,117761601825</t>
  </si>
  <si>
    <t>Ammonia Underground Pipeline 2600 MW-NH3</t>
  </si>
  <si>
    <r>
      <t>CAPEX LHV[</t>
    </r>
    <r>
      <rPr>
        <sz val="11"/>
        <color theme="1"/>
        <rFont val="Calibri"/>
        <family val="2"/>
      </rPr>
      <t>2021€/(km*kg NH3 per hour)]</t>
    </r>
  </si>
  <si>
    <t>1 kg of NH3/hour = 6,25 kW of NH3 in HHV or 5,1666 kW of NH3 in LHV. So 2600 MW of NH3 in HHV = 416000 kg of NH3 in HHV/hour (0,009984 MTPD). The equations are found on page 136 of the document. The cost result is 1944,12 (in € / [m * MTPD]). Following this, the total is multiplied by 1000 and divided by 1000000 (to convert in € / [km * TPD]. Finally, to convert TPD to LHV, it is necessary to multiply by 1.20969 (HHV / LHV ratio). The reference cost corresponds to the year 2015, so inflation must be applied until the year 2021 (x1,05).</t>
  </si>
  <si>
    <t>Mass Flow LHV [Ton/day | kg NH3/h]</t>
  </si>
  <si>
    <t>8253,35 | 343890,757</t>
  </si>
  <si>
    <t>Electrical Consumption [%/km*kg NH3 per hour]</t>
  </si>
  <si>
    <t>Negligible.</t>
  </si>
  <si>
    <t>OPEX fix [% CAPEX | 2021€/(km*kg NH3 per hour) per year]</t>
  </si>
  <si>
    <t>1 | 0,000593</t>
  </si>
  <si>
    <t>OPEX var [2021€/km*kg NH3]</t>
  </si>
  <si>
    <t>Aqueduct (Piping)</t>
  </si>
  <si>
    <r>
      <t>CAPEX [</t>
    </r>
    <r>
      <rPr>
        <sz val="11"/>
        <color theme="1"/>
        <rFont val="Calibri"/>
        <family val="2"/>
      </rPr>
      <t>2021€/(km*mᶾ per hour)]</t>
    </r>
  </si>
  <si>
    <t>https://doi.org/10.1016/j.segy.2021.100052</t>
  </si>
  <si>
    <t>OPEX fix [2021€/(km*mᶾ per hour) per year]</t>
  </si>
  <si>
    <t>OPEX var [2021€/(km*mᶾ)]</t>
  </si>
  <si>
    <t>HVAC (Overhead Line)</t>
  </si>
  <si>
    <r>
      <t>CAPEX [</t>
    </r>
    <r>
      <rPr>
        <sz val="11"/>
        <color theme="1"/>
        <rFont val="Calibri"/>
        <family val="2"/>
      </rPr>
      <t>2021€/(km*kW-e)]</t>
    </r>
  </si>
  <si>
    <t>OPEX fix [% CAPEX | 2021€/(km*kW-e) per year]</t>
  </si>
  <si>
    <t>1 | 0,00244</t>
  </si>
  <si>
    <t>OPEX var [2021€/(km*kWh-e))]</t>
  </si>
  <si>
    <t>Losses [% per km]</t>
  </si>
  <si>
    <t>The final % value is multiplicated by the total amount of kWe.</t>
  </si>
  <si>
    <t>CAPEX LHV [2021€/Ton CO2 per year]</t>
  </si>
  <si>
    <t>OPEX fix [% CAPEX | (2021€/Ton CO2 per year) per year]</t>
  </si>
  <si>
    <t>4 | 29,2</t>
  </si>
  <si>
    <t>4 | 19,2</t>
  </si>
  <si>
    <t>4 | 13,5</t>
  </si>
  <si>
    <t>4 | 11,2</t>
  </si>
  <si>
    <t>4 | 9,5</t>
  </si>
  <si>
    <t>4 | 8,7</t>
  </si>
  <si>
    <t>4 | 8</t>
  </si>
  <si>
    <t>OPEX var [2021€/Ton CO2]</t>
  </si>
  <si>
    <t>Electrical Consumption [kWh-e/Ton CO2]</t>
  </si>
  <si>
    <t>Thermal Consumption [kWh-e/Ton CO2]</t>
  </si>
  <si>
    <t>Water Production [mᶾ/Ton CO2</t>
  </si>
  <si>
    <t>https://doi.org/10.1016/j.jclepro.2019.03.086</t>
  </si>
  <si>
    <t>The 2020, 2030, 2040 and 2050 values are extracted from the reference. The remaining values ​​are obtained by interpolation.  These values can be obtained with the curve y =  814,78x^(-0,677) [y = Capex and x = order of the year (2020 = 1; 2050 =  7)]. The reference cost corresponds to the year 2019, so inflation must be applied until the year 2021 (x1,01).</t>
  </si>
  <si>
    <t>3,7 | 30,45655</t>
  </si>
  <si>
    <t>3,7 | 18,8558</t>
  </si>
  <si>
    <t>3,7 | 14,1259</t>
  </si>
  <si>
    <t>3,7 | 11,79364</t>
  </si>
  <si>
    <t>3,7 | 9,90305</t>
  </si>
  <si>
    <t>3,7 | 8,962584</t>
  </si>
  <si>
    <t>3,7 | 8,29614</t>
  </si>
  <si>
    <t xml:space="preserve">The 2020, 2030, 2040 and 2050 values are extracted from the reference. The remaining values ​​are obtained by linear interpolation. </t>
  </si>
  <si>
    <t>Water Consumption [mᶾ/Ton CO2</t>
  </si>
  <si>
    <t>CAPEX LHV [2021€/Ton CO2]</t>
  </si>
  <si>
    <t>OPEX fix [% CAPEX | 2021€/Ton CO2 per year]</t>
  </si>
  <si>
    <t>7 | 9,94</t>
  </si>
  <si>
    <t>CO2 Storage Interface (Charger &amp; Discharger)</t>
  </si>
  <si>
    <t>CAPEX LHV [2021€/kg CO2]</t>
  </si>
  <si>
    <t>OPEX fix [% CAPEX | 2021€/kg CO2 per year]</t>
  </si>
  <si>
    <t>OPEX var [2021€/kg CO2]</t>
  </si>
  <si>
    <t>CAPEX LHV [2021€/mᶾ per hour]</t>
  </si>
  <si>
    <t>OPEX fix [% CAPEX | (2021€/mᶾ per hour) per year]</t>
  </si>
  <si>
    <t>4 | 1,6</t>
  </si>
  <si>
    <t>4 | 1,3917</t>
  </si>
  <si>
    <t>4 | 1,20832</t>
  </si>
  <si>
    <t>4 | 1,05</t>
  </si>
  <si>
    <t>4 | 0,9167</t>
  </si>
  <si>
    <t>4 | 0,8</t>
  </si>
  <si>
    <t>4 | 0,6917</t>
  </si>
  <si>
    <t>OPEX var [2021€/mᶾ]</t>
  </si>
  <si>
    <t>Electrical Consumption [kWh-e/mᶾ]</t>
  </si>
  <si>
    <t>Thermal Consumption [kWh-th/mᶾ]</t>
  </si>
  <si>
    <t>5 | 4,16667</t>
  </si>
  <si>
    <t>3,3 | 1,65</t>
  </si>
  <si>
    <t>3,3 | 1,4355</t>
  </si>
  <si>
    <t>3,3 | 1,2462</t>
  </si>
  <si>
    <t>3,3 | 1,0828</t>
  </si>
  <si>
    <t>3,3 | 0,94532</t>
  </si>
  <si>
    <t>3,3 | 0,825</t>
  </si>
  <si>
    <t>3,3 | 0,71336</t>
  </si>
  <si>
    <t>CAPEX LHV [2021€/mᶾ]</t>
  </si>
  <si>
    <t>2 | 1,29</t>
  </si>
  <si>
    <t>2,5 | 19,375</t>
  </si>
  <si>
    <t>It corresponds to the efficiency of LHV fuel energy. In this case, 1 kWh of CH4 = 0,071942 kg of CH4.</t>
  </si>
  <si>
    <t>CH4 Consumption [kg CH4/kWh-e]</t>
  </si>
  <si>
    <t>1/(Efficiency x (13,9 kWh of CH4/kg of CH4))</t>
  </si>
  <si>
    <t>Innovation landscape brief: Flexibility in conventional power plants (irena.org)</t>
  </si>
  <si>
    <t>Post flexibilisation values.</t>
  </si>
  <si>
    <t>Outlet Temperature [°C]</t>
  </si>
  <si>
    <t>~114</t>
  </si>
  <si>
    <r>
      <t>Water Consumption [m</t>
    </r>
    <r>
      <rPr>
        <sz val="11"/>
        <color theme="1"/>
        <rFont val="Calibri"/>
        <family val="2"/>
      </rPr>
      <t>ᶾ/kWh-e]</t>
    </r>
  </si>
  <si>
    <t>Pressure In [bar]</t>
  </si>
  <si>
    <t>Atm - 5</t>
  </si>
  <si>
    <t>technology_data_catalogue_for_el_and_dh_-_0009.pdf (ens.dk)</t>
  </si>
  <si>
    <t>The reference cost corresponds to the year 2015, so inflation must be applied until the year 2021 (x1,05).</t>
  </si>
  <si>
    <t>2,31 | 31,532</t>
  </si>
  <si>
    <t>2,31 | 29,11</t>
  </si>
  <si>
    <t>2,31 | 26,681</t>
  </si>
  <si>
    <t>Heat Release [kW-th/kW-e]</t>
  </si>
  <si>
    <t>3 | 14,25</t>
  </si>
  <si>
    <t>~550</t>
  </si>
  <si>
    <t>2,31 | 14,322</t>
  </si>
  <si>
    <t>2,31 | 13,583</t>
  </si>
  <si>
    <t>2,31 | 12,613</t>
  </si>
  <si>
    <t>It corresponds to the efficiency of LHV fuel energy. In this case, 1 kWh of CH4 = 0,071942 kg of CH4. Same efficiency as the open cycle turbine because it takes advantage of previously wasted heat at an additional cost.</t>
  </si>
  <si>
    <t>2,5 | 21,325</t>
  </si>
  <si>
    <t>It corresponds to the efficiency of LHV fuel energy. In this case, 1 kWh of H2 = 0,03 kg of H2.</t>
  </si>
  <si>
    <t>H2 Consumption [kg H2/kWh-e]</t>
  </si>
  <si>
    <t>1/(Efficiency x (33,333 kWh of H2/kg of H2))</t>
  </si>
  <si>
    <t>&gt;114</t>
  </si>
  <si>
    <t>Hydrogen should reach higher temperatures.</t>
  </si>
  <si>
    <t>The reference cost corresponds to the year 2015, so inflation must be applied until the year 2021 (x1,05). 10% more expensive than the methane version.</t>
  </si>
  <si>
    <t>2,31 | 32,017</t>
  </si>
  <si>
    <t>2,31 | 29,349</t>
  </si>
  <si>
    <t>3 | 15,69</t>
  </si>
  <si>
    <t>&gt;550</t>
  </si>
  <si>
    <t>2,31 | 14,946</t>
  </si>
  <si>
    <t>2,31 | 13,874</t>
  </si>
  <si>
    <t>It corresponds to the efficiency of LHV fuel energy. In this case, 1 kWh of H2 = 0,03 kg of H2. Same efficiency as the open cycle turbine because it takes advantage of previously wasted heat at an additional cost.</t>
  </si>
  <si>
    <t>Stationary PEM Fuel Cell 400 kW</t>
  </si>
  <si>
    <t>Technology Roadmap Hydrogen and Fuel Cells (windows.net)</t>
  </si>
  <si>
    <t>The 2020, 2025, 2030 and 2050 values are extracted from the reference. The remaining values ​​are obtained by interpolation. For the year 2025 a potential approximation is made and for the rest of the years it approximates linearly between 2030 and 2050. These values can be obtained with the curve y = 7,3125x^(4) - 160,93x^(3) + 1295,2x^(2) - 4538,9x + 6605,7 [y = Capex and x = order of the year (2020 = 1; 2050 =  7)]. The reference cost corresponds to the year 2015, so inflation must be applied until the year 2021 (x1,05). The exchange of currency from dollar to euro is applied on November 19, 2021 according to the European Central Bank ($ 1 = € 0.8872).</t>
  </si>
  <si>
    <t>5 | 149,05</t>
  </si>
  <si>
    <t>5 | 73,407</t>
  </si>
  <si>
    <t>5 | 38,66</t>
  </si>
  <si>
    <t>5 | 36,6802</t>
  </si>
  <si>
    <t>5 | 34,701</t>
  </si>
  <si>
    <t>5 | 32,72105</t>
  </si>
  <si>
    <t>5 | 30,7415</t>
  </si>
  <si>
    <t xml:space="preserve">The 2020, 2025, 2030 and 2050 values are extracted from the reference. The remaining values ​​are obtained by interpolation. For the year 2025 a potential approximation is made and for the rest of the years it approximates linearly between 2030 and 2050. These values can be obtained with the curve y =  0,182x^(3) - 2,852x^(2) + 15,231x + 36,177 [y = Efficiency and x = order of the year (2020 = 1; 2050 =  7)]. % LHV = % HHV/1,182. </t>
  </si>
  <si>
    <t>Stationary SOFC 250 kW</t>
  </si>
  <si>
    <t>Distributed Generation, Battery Storage, and Combined Heat and Power System Characteristics and Costs in the Buildings and Industrial Sectors (eia.gov)</t>
  </si>
  <si>
    <t>The 2020, 2030, 2040 and 2050 values are extracted from the reference. The remaining values ​​are obtained by linear interpolation. The reference cost corresponds to the year 2018, so inflation must be applied until the year 2021 (x1,03). The exchange of currency from dollar to euro is applied on November 19, 2021 according to the European Central Bank ($ 1 = € 0.8872).</t>
  </si>
  <si>
    <t>Electric Efficiency [% LHV]</t>
  </si>
  <si>
    <t>https://doi.org/10.1016/j.ijhydene.2018.11.122</t>
  </si>
  <si>
    <t>The reality is that in the future the efficiency of the technology will improve, but due to the focus of the associated reference and its uncertainty, the efficiency will remain fixed.</t>
  </si>
  <si>
    <t>Thermal Efficiency [% LHV]</t>
  </si>
  <si>
    <t>H2 Consumption [kg H2/kWh-e] or</t>
  </si>
  <si>
    <t>The same technology can use 4 different fuels, but not at the same time. 1/(Efficiency x (33,333 kWh of H2/kg of H2))</t>
  </si>
  <si>
    <t>CH4 Consumption [kg CH4/kWh-e] or</t>
  </si>
  <si>
    <t>MeOH Consumption [kg MeOH/kWh-e] or</t>
  </si>
  <si>
    <t>1/(Efficiency x (5,54 kWh of MeOH/kg of MeOH))</t>
  </si>
  <si>
    <t>NH3 Consumption [kg NH3/kWh-e]</t>
  </si>
  <si>
    <t>1/(Efficiency x (5,17 kWh of NH3/kg of NH3))</t>
  </si>
  <si>
    <t>Crystals | Free Full-Text | Start-Up of a Solid Oxide Fuel Cell System with a View to Materials Science-Related Aspects, Control and Thermo-Mechanical Stresses (mdpi.com)</t>
  </si>
  <si>
    <t>Operation Temperature [°C]</t>
  </si>
  <si>
    <t>700-1000</t>
  </si>
  <si>
    <t>~750</t>
  </si>
  <si>
    <t>~ 750</t>
  </si>
  <si>
    <t>https://doi.org/10.1016/j.enconman.2017.02.045</t>
  </si>
  <si>
    <t>revisar</t>
  </si>
  <si>
    <t>Residential PEM Fuel Cell CHP 5 kW</t>
  </si>
  <si>
    <t>The 2020, 2030, 2040 and 2050 values are extracted from the reference. The remaining values ​​are obtained by linear interpolation.. The reference cost corresponds to the year 2018, so inflation must be applied until the year 2021 (x1,03). The exchange of currency from dollar to euro is applied on November 19, 2021 according to the European Central Bank ($ 1 = € 0.8872).</t>
  </si>
  <si>
    <t>&lt;100</t>
  </si>
  <si>
    <t>Low-to-ACS Heat Exchanger (Steam-to-Hot Water)</t>
  </si>
  <si>
    <t>https://doi.org/10.1016/j.apenergy.2021.117298</t>
  </si>
  <si>
    <t>OPEX fix [% CAPEX | 2021€/kW-th per year]</t>
  </si>
  <si>
    <r>
      <t>Capacity [</t>
    </r>
    <r>
      <rPr>
        <sz val="11"/>
        <color theme="1"/>
        <rFont val="Calibri"/>
        <family val="2"/>
      </rPr>
      <t>kW-th]</t>
    </r>
  </si>
  <si>
    <t>&lt;80</t>
  </si>
  <si>
    <t>High-to-High Heat Exchanger (SOFC)</t>
  </si>
  <si>
    <t>Energies | Free Full-Text | Operation of a Solid Oxide Fuel Cell Based Power System with Ammonia as a Fuel: Experimental Test and System Design (mdpi.com)</t>
  </si>
  <si>
    <t>Reference Low Temperature Heat Exchanger total cost divided by total capacity (100 kW). Then this value is divided by 0,635 (electric/heat ratio of SOFC). The exchange of currency from dollar to euro is applied on November 19, 2021 according to the European Central Bank ($ 1 = € 0.8872).</t>
  </si>
  <si>
    <t>High-to-Medium Heat Exchanger (Molten Salt)</t>
  </si>
  <si>
    <t>Heat recovery at high temperature by molten salts for high temperature processing industries (brunel.ac.uk)</t>
  </si>
  <si>
    <t>400-565</t>
  </si>
  <si>
    <t>~300</t>
  </si>
  <si>
    <t>High-to-Low Heat Exchanger (Molten Salt)</t>
  </si>
  <si>
    <t>Capital cost expenditure of high temperature latent and sensible thermal energy storage systems (scitation.org)</t>
  </si>
  <si>
    <t>The extracted cost corresponds to "molten salt-to-air heat exchanger" and a duration of 10 hours is assumed. The reference cost corresponds to the year 2017, so inflation must be applied until the year 2021 (x1,04). The exchange of currency from dollar to euro is applied on November 19, 2021 according to the European Central Bank ($ 1 = € 0.8872).</t>
  </si>
  <si>
    <t>CAPEX [2021€/kW-th]</t>
  </si>
  <si>
    <t>OPEX fix [2021€/kW-th per year]</t>
  </si>
  <si>
    <t>2 | 2</t>
  </si>
  <si>
    <t>1-s2.0-S0959652621004157-mmc1.pdf (els-cdn.com)</t>
  </si>
  <si>
    <t>2 | 15,6</t>
  </si>
  <si>
    <t>2 | 15</t>
  </si>
  <si>
    <t>1 | 7,3</t>
  </si>
  <si>
    <t>1 | 7,1</t>
  </si>
  <si>
    <t>1 | 6,9</t>
  </si>
  <si>
    <t>1 | 6,7</t>
  </si>
  <si>
    <t>1 | 6,5</t>
  </si>
  <si>
    <t>CH4 Consumption [kg CH4/kWh-th]</t>
  </si>
  <si>
    <t>Hot Water Heat Storage (&lt;90 °C)</t>
  </si>
  <si>
    <t>OPEX fix [% CAPEX | 2021€/kWh-th per year]</t>
  </si>
  <si>
    <t>14 | 0,8</t>
  </si>
  <si>
    <t>4,8 | 0,2</t>
  </si>
  <si>
    <t>It is assumed equal to DH Heat Storage.</t>
  </si>
  <si>
    <t>Hot Water Heat Storage (Charger &amp; Discharger)</t>
  </si>
  <si>
    <t>3,7 | 2,775</t>
  </si>
  <si>
    <t>3,7 | 3,7</t>
  </si>
  <si>
    <t>DH Heat Storage (90 °C)</t>
  </si>
  <si>
    <t>1,5 | 0,6</t>
  </si>
  <si>
    <t>1,5 | 0,45</t>
  </si>
  <si>
    <t>1,5 | 0,375</t>
  </si>
  <si>
    <t>1,5 | 0,3</t>
  </si>
  <si>
    <t>DH Heat Storage Interface (Charger &amp; Discharger)</t>
  </si>
  <si>
    <t>Methane Hot Heat Burner (Gas Interface)</t>
  </si>
  <si>
    <t>https://doi.org/10.1016/j.egypro.2014.01.154</t>
  </si>
  <si>
    <t>Technology information.</t>
  </si>
  <si>
    <t>1/(0,95 x 13,9 kWh-th/kg CH4).</t>
  </si>
  <si>
    <t>&gt; 900</t>
  </si>
  <si>
    <t>Can reach high heat temperatures.</t>
  </si>
  <si>
    <t>Hydrogen Hot Heat Burner (Gas Interface)</t>
  </si>
  <si>
    <t>Since 2030, the commercialization of turbines with 100% use of hydrogen is estimated. In the reference, these technologies have a 10% higher cost, so the same increase is made to represent this technology.</t>
  </si>
  <si>
    <t>4 | 4,4</t>
  </si>
  <si>
    <t>H2 Consumption [kg H2/kWh-th]</t>
  </si>
  <si>
    <t xml:space="preserve">1/(0,95 x 33,333 kWh-th/kg H2). </t>
  </si>
  <si>
    <t>Heating Rod (Electric heating)</t>
  </si>
  <si>
    <t>https://doi.org/10.1016/j.egypro.2016.10.101</t>
  </si>
  <si>
    <t>The reference cost corresponds to the year 2016, so inflation must be applied until the year 2021 (x1,05).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</si>
</sst>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font>
      <sz val="11"/>
      <color theme="1"/>
      <name val="Calibri"/>
      <family val="2"/>
      <scheme val="minor"/>
    </font>
    <font>
      <sz val="11"/>
      <color theme="1"/>
      <name val="Calibri"/>
      <family val="2"/>
    </font>
    <font>
      <sz val="8"/>
      <name val="Calibri"/>
      <family val="2"/>
      <scheme val="minor"/>
    </font>
    <font>
      <sz val="11"/>
      <color theme="1"/>
      <name val="Calibri"/>
      <family val="2"/>
      <scheme val="minor"/>
    </font>
    <font>
      <b/>
      <sz val="11"/>
      <color theme="0"/>
      <name val="Calibri"/>
      <family val="2"/>
      <scheme val="minor"/>
    </font>
    <font>
      <sz val="11"/>
      <name val="Calibri"/>
      <family val="2"/>
      <scheme val="minor"/>
    </font>
    <font>
      <i/>
      <sz val="10"/>
      <color theme="0" tint="-0.499984740745262"/>
      <name val="Calibri"/>
      <family val="2"/>
      <scheme val="minor"/>
    </font>
    <font>
      <b/>
      <sz val="11"/>
      <color theme="1"/>
      <name val="Calibri"/>
      <family val="2"/>
      <scheme val="minor"/>
    </font>
    <font>
      <u/>
      <sz val="11"/>
      <color theme="10"/>
      <name val="Calibri"/>
      <family val="2"/>
      <scheme val="minor"/>
    </font>
    <font>
      <sz val="11"/>
      <color rgb="FFFFFFFF"/>
      <name val="Calibri"/>
      <family val="2"/>
      <scheme val="minor"/>
    </font>
  </fonts>
  <fills count="27">
    <fill>
      <patternFill patternType="none"/>
    </fill>
    <fill>
      <patternFill patternType="gray125"/>
    </fill>
    <fill>
      <patternFill patternType="solid">
        <fgColor theme="4" tint="0.59999389629810485"/>
        <bgColor indexed="64"/>
      </patternFill>
    </fill>
    <fill>
      <patternFill patternType="solid">
        <fgColor theme="2"/>
        <bgColor indexed="64"/>
      </patternFill>
    </fill>
    <fill>
      <patternFill patternType="solid">
        <fgColor theme="4"/>
        <bgColor indexed="64"/>
      </patternFill>
    </fill>
    <fill>
      <patternFill patternType="solid">
        <fgColor theme="5" tint="-0.249977111117893"/>
        <bgColor indexed="64"/>
      </patternFill>
    </fill>
    <fill>
      <patternFill patternType="solid">
        <fgColor theme="9"/>
        <bgColor indexed="64"/>
      </patternFill>
    </fill>
    <fill>
      <patternFill patternType="solid">
        <fgColor rgb="FFC00000"/>
        <bgColor indexed="64"/>
      </patternFill>
    </fill>
    <fill>
      <patternFill patternType="solid">
        <fgColor theme="1" tint="0.14999847407452621"/>
        <bgColor indexed="64"/>
      </patternFill>
    </fill>
    <fill>
      <patternFill patternType="solid">
        <fgColor theme="3" tint="-0.499984740745262"/>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6" tint="0.59999389629810485"/>
        <bgColor indexed="64"/>
      </patternFill>
    </fill>
    <fill>
      <patternFill patternType="solid">
        <fgColor theme="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rgb="FF0F243E"/>
        <bgColor indexed="64"/>
      </patternFill>
    </fill>
    <fill>
      <patternFill patternType="solid">
        <fgColor rgb="FFC6D9F0"/>
        <bgColor indexed="64"/>
      </patternFill>
    </fill>
    <fill>
      <patternFill patternType="solid">
        <fgColor rgb="FFBFBFBF"/>
        <bgColor indexed="64"/>
      </patternFill>
    </fill>
    <fill>
      <patternFill patternType="solid">
        <fgColor rgb="FFFFFFFF"/>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9" tint="0.59999389629810485"/>
        <bgColor indexed="64"/>
      </patternFill>
    </fill>
  </fills>
  <borders count="67">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right style="thin">
        <color indexed="64"/>
      </right>
      <top style="medium">
        <color indexed="64"/>
      </top>
      <bottom style="thin">
        <color indexed="64"/>
      </bottom>
      <diagonal/>
    </border>
    <border>
      <left style="thin">
        <color indexed="64"/>
      </left>
      <right style="medium">
        <color indexed="64"/>
      </right>
      <top/>
      <bottom/>
      <diagonal/>
    </border>
    <border>
      <left/>
      <right style="thin">
        <color indexed="64"/>
      </right>
      <top/>
      <bottom/>
      <diagonal/>
    </border>
    <border>
      <left/>
      <right/>
      <top style="medium">
        <color indexed="64"/>
      </top>
      <bottom/>
      <diagonal/>
    </border>
    <border>
      <left style="medium">
        <color indexed="64"/>
      </left>
      <right style="medium">
        <color rgb="FFCCCCCC"/>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rgb="FFCCCCCC"/>
      </left>
      <right style="medium">
        <color indexed="64"/>
      </right>
      <top style="medium">
        <color indexed="64"/>
      </top>
      <bottom/>
      <diagonal/>
    </border>
    <border>
      <left style="medium">
        <color indexed="64"/>
      </left>
      <right style="medium">
        <color indexed="64"/>
      </right>
      <top style="medium">
        <color indexed="64"/>
      </top>
      <bottom style="medium">
        <color rgb="FFCCCCCC"/>
      </bottom>
      <diagonal/>
    </border>
    <border>
      <left style="medium">
        <color indexed="64"/>
      </left>
      <right style="medium">
        <color indexed="64"/>
      </right>
      <top style="medium">
        <color rgb="FFCCCCCC"/>
      </top>
      <bottom style="medium">
        <color rgb="FFCCCCCC"/>
      </bottom>
      <diagonal/>
    </border>
    <border>
      <left style="medium">
        <color indexed="64"/>
      </left>
      <right style="medium">
        <color indexed="64"/>
      </right>
      <top style="medium">
        <color rgb="FFCCCCCC"/>
      </top>
      <bottom style="medium">
        <color indexed="64"/>
      </bottom>
      <diagonal/>
    </border>
    <border>
      <left style="medium">
        <color indexed="64"/>
      </left>
      <right style="medium">
        <color rgb="FFCCCCCC"/>
      </right>
      <top style="medium">
        <color indexed="64"/>
      </top>
      <bottom style="medium">
        <color rgb="FFCCCCCC"/>
      </bottom>
      <diagonal/>
    </border>
    <border>
      <left style="medium">
        <color rgb="FFCCCCCC"/>
      </left>
      <right style="medium">
        <color rgb="FFCCCCCC"/>
      </right>
      <top style="medium">
        <color indexed="64"/>
      </top>
      <bottom style="medium">
        <color rgb="FFCCCCCC"/>
      </bottom>
      <diagonal/>
    </border>
    <border>
      <left style="medium">
        <color indexed="64"/>
      </left>
      <right/>
      <top style="medium">
        <color rgb="FFCCCCCC"/>
      </top>
      <bottom style="medium">
        <color rgb="FFCCCCCC"/>
      </bottom>
      <diagonal/>
    </border>
    <border>
      <left style="medium">
        <color indexed="64"/>
      </left>
      <right/>
      <top style="medium">
        <color rgb="FFCCCCCC"/>
      </top>
      <bottom style="medium">
        <color indexed="64"/>
      </bottom>
      <diagonal/>
    </border>
    <border>
      <left style="medium">
        <color rgb="FFCCCCCC"/>
      </left>
      <right style="medium">
        <color rgb="FFCCCCCC"/>
      </right>
      <top style="medium">
        <color indexed="64"/>
      </top>
      <bottom/>
      <diagonal/>
    </border>
    <border>
      <left/>
      <right/>
      <top style="medium">
        <color rgb="FFCCCCCC"/>
      </top>
      <bottom style="medium">
        <color rgb="FFCCCCCC"/>
      </bottom>
      <diagonal/>
    </border>
    <border>
      <left/>
      <right/>
      <top style="medium">
        <color rgb="FFCCCCCC"/>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s>
  <cellStyleXfs count="3">
    <xf numFmtId="0" fontId="0" fillId="0" borderId="0"/>
    <xf numFmtId="0" fontId="3" fillId="10" borderId="0"/>
    <xf numFmtId="0" fontId="8" fillId="0" borderId="0" applyNumberFormat="0" applyFill="0" applyBorder="0" applyAlignment="0" applyProtection="0"/>
  </cellStyleXfs>
  <cellXfs count="244">
    <xf numFmtId="0" fontId="0" fillId="0" borderId="0" xfId="0"/>
    <xf numFmtId="0" fontId="0" fillId="0" borderId="0" xfId="0" applyAlignment="1">
      <alignment horizontal="center"/>
    </xf>
    <xf numFmtId="0" fontId="0" fillId="0" borderId="2" xfId="0" applyBorder="1" applyAlignment="1">
      <alignment horizontal="center" vertical="center"/>
    </xf>
    <xf numFmtId="0" fontId="0" fillId="0" borderId="3" xfId="0" applyBorder="1" applyAlignment="1">
      <alignment horizontal="center"/>
    </xf>
    <xf numFmtId="0" fontId="0" fillId="0" borderId="4" xfId="0" applyBorder="1" applyAlignment="1">
      <alignment horizontal="center"/>
    </xf>
    <xf numFmtId="0" fontId="0" fillId="0" borderId="2" xfId="0" applyBorder="1" applyAlignment="1">
      <alignment horizontal="center"/>
    </xf>
    <xf numFmtId="0" fontId="0" fillId="4" borderId="9" xfId="0" applyFill="1" applyBorder="1"/>
    <xf numFmtId="0" fontId="0" fillId="0" borderId="10" xfId="0" applyBorder="1"/>
    <xf numFmtId="0" fontId="0" fillId="5" borderId="11" xfId="0" applyFill="1" applyBorder="1"/>
    <xf numFmtId="0" fontId="0" fillId="0" borderId="12" xfId="0" applyBorder="1"/>
    <xf numFmtId="0" fontId="0" fillId="6" borderId="11" xfId="0" applyFill="1" applyBorder="1"/>
    <xf numFmtId="0" fontId="0" fillId="7" borderId="11" xfId="0" applyFill="1" applyBorder="1"/>
    <xf numFmtId="0" fontId="0" fillId="8" borderId="13" xfId="0" applyFill="1" applyBorder="1"/>
    <xf numFmtId="0" fontId="0" fillId="0" borderId="14" xfId="0" applyBorder="1"/>
    <xf numFmtId="0" fontId="0" fillId="0" borderId="9" xfId="0" applyBorder="1"/>
    <xf numFmtId="0" fontId="0" fillId="0" borderId="11" xfId="0" applyBorder="1"/>
    <xf numFmtId="0" fontId="0" fillId="0" borderId="13" xfId="0" applyBorder="1"/>
    <xf numFmtId="0" fontId="0" fillId="0" borderId="1" xfId="0" applyBorder="1" applyAlignment="1">
      <alignment horizontal="center"/>
    </xf>
    <xf numFmtId="0" fontId="5" fillId="0" borderId="3" xfId="0" applyFont="1" applyBorder="1" applyAlignment="1">
      <alignment horizontal="center"/>
    </xf>
    <xf numFmtId="0" fontId="6" fillId="0" borderId="0" xfId="0" applyFont="1" applyAlignment="1">
      <alignment horizontal="center"/>
    </xf>
    <xf numFmtId="0" fontId="0" fillId="12" borderId="1" xfId="0" applyFill="1" applyBorder="1" applyAlignment="1">
      <alignment horizontal="center"/>
    </xf>
    <xf numFmtId="0" fontId="0" fillId="0" borderId="5" xfId="0" applyBorder="1" applyAlignment="1">
      <alignment horizontal="center"/>
    </xf>
    <xf numFmtId="0" fontId="7" fillId="0" borderId="19" xfId="0" applyFont="1" applyBorder="1" applyAlignment="1">
      <alignment horizontal="center"/>
    </xf>
    <xf numFmtId="0" fontId="7" fillId="0" borderId="1" xfId="0" applyFont="1" applyBorder="1" applyAlignment="1">
      <alignment horizontal="center"/>
    </xf>
    <xf numFmtId="0" fontId="7" fillId="13" borderId="2" xfId="0" applyFont="1" applyFill="1"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12" borderId="1" xfId="0" applyFill="1" applyBorder="1" applyAlignment="1">
      <alignment horizontal="center" vertical="center"/>
    </xf>
    <xf numFmtId="0" fontId="0" fillId="12" borderId="1" xfId="0" applyFill="1" applyBorder="1" applyAlignment="1">
      <alignment horizontal="center" vertical="center" wrapText="1"/>
    </xf>
    <xf numFmtId="0" fontId="0" fillId="12" borderId="15" xfId="0" applyFill="1" applyBorder="1" applyAlignment="1">
      <alignment horizontal="center" vertical="center" wrapText="1"/>
    </xf>
    <xf numFmtId="0" fontId="0" fillId="12" borderId="2" xfId="0" applyFill="1" applyBorder="1" applyAlignment="1">
      <alignment horizontal="center" vertical="center" wrapText="1"/>
    </xf>
    <xf numFmtId="0" fontId="0" fillId="0" borderId="3" xfId="0" applyBorder="1" applyAlignment="1">
      <alignment horizontal="center" vertical="center"/>
    </xf>
    <xf numFmtId="0" fontId="0" fillId="0" borderId="0" xfId="0" applyAlignment="1">
      <alignment wrapText="1"/>
    </xf>
    <xf numFmtId="0" fontId="0" fillId="0" borderId="0" xfId="0" applyAlignment="1">
      <alignment vertical="center"/>
    </xf>
    <xf numFmtId="0" fontId="0" fillId="0" borderId="4" xfId="0" applyBorder="1" applyAlignment="1">
      <alignment horizontal="center" vertical="center"/>
    </xf>
    <xf numFmtId="0" fontId="0" fillId="0" borderId="0" xfId="0" applyAlignment="1">
      <alignment horizontal="center" vertical="center"/>
    </xf>
    <xf numFmtId="0" fontId="0" fillId="0" borderId="17"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14" borderId="18" xfId="0" applyFill="1" applyBorder="1" applyAlignment="1">
      <alignment horizontal="center" vertical="center"/>
    </xf>
    <xf numFmtId="0" fontId="0" fillId="0" borderId="16" xfId="0" applyBorder="1" applyAlignment="1">
      <alignment horizontal="center" vertical="center"/>
    </xf>
    <xf numFmtId="0" fontId="0" fillId="14" borderId="0" xfId="0" applyFill="1" applyAlignment="1">
      <alignment horizontal="center" vertical="center"/>
    </xf>
    <xf numFmtId="0" fontId="7" fillId="13" borderId="2" xfId="0" applyFont="1" applyFill="1" applyBorder="1" applyAlignment="1">
      <alignment horizont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center" vertical="center"/>
    </xf>
    <xf numFmtId="0" fontId="0" fillId="12" borderId="2" xfId="0" applyFill="1" applyBorder="1" applyAlignment="1">
      <alignment horizontal="center" vertical="center"/>
    </xf>
    <xf numFmtId="0" fontId="0" fillId="0" borderId="7" xfId="0" applyBorder="1" applyAlignment="1">
      <alignment horizontal="center"/>
    </xf>
    <xf numFmtId="0" fontId="0" fillId="16" borderId="20" xfId="0" applyFill="1" applyBorder="1" applyAlignment="1">
      <alignment wrapText="1"/>
    </xf>
    <xf numFmtId="0" fontId="0" fillId="17" borderId="21" xfId="0" applyFill="1" applyBorder="1" applyAlignment="1">
      <alignment wrapText="1"/>
    </xf>
    <xf numFmtId="0" fontId="0" fillId="15" borderId="20" xfId="0" applyFill="1" applyBorder="1" applyAlignment="1">
      <alignment horizontal="center" vertical="center"/>
    </xf>
    <xf numFmtId="0" fontId="0" fillId="15" borderId="22" xfId="0" applyFill="1" applyBorder="1" applyAlignment="1">
      <alignment horizontal="center" vertical="center"/>
    </xf>
    <xf numFmtId="0" fontId="0" fillId="15" borderId="21" xfId="0" applyFill="1" applyBorder="1" applyAlignment="1">
      <alignment horizontal="center" vertical="center"/>
    </xf>
    <xf numFmtId="0" fontId="0" fillId="15" borderId="23" xfId="0" applyFill="1" applyBorder="1" applyAlignment="1">
      <alignment horizontal="center" vertical="center"/>
    </xf>
    <xf numFmtId="0" fontId="0" fillId="15" borderId="24" xfId="0" applyFill="1" applyBorder="1" applyAlignment="1">
      <alignment horizontal="center" vertical="center"/>
    </xf>
    <xf numFmtId="0" fontId="0" fillId="15" borderId="25" xfId="0" applyFill="1" applyBorder="1" applyAlignment="1">
      <alignment horizontal="center" vertical="center"/>
    </xf>
    <xf numFmtId="0" fontId="0" fillId="15" borderId="19" xfId="0" applyFill="1" applyBorder="1" applyAlignment="1">
      <alignment horizontal="center" vertical="center"/>
    </xf>
    <xf numFmtId="0" fontId="0" fillId="15" borderId="26" xfId="0" applyFill="1" applyBorder="1" applyAlignment="1">
      <alignment horizontal="center" vertical="top"/>
    </xf>
    <xf numFmtId="0" fontId="0" fillId="15" borderId="27" xfId="0" applyFill="1" applyBorder="1" applyAlignment="1">
      <alignment horizontal="center" vertical="top"/>
    </xf>
    <xf numFmtId="0" fontId="0" fillId="15" borderId="28" xfId="0" applyFill="1" applyBorder="1" applyAlignment="1">
      <alignment horizontal="center" vertical="top"/>
    </xf>
    <xf numFmtId="0" fontId="0" fillId="15" borderId="18" xfId="0" applyFill="1" applyBorder="1" applyAlignment="1">
      <alignment horizontal="center" vertical="top"/>
    </xf>
    <xf numFmtId="0" fontId="0" fillId="16" borderId="0" xfId="0" applyFill="1" applyAlignment="1">
      <alignment horizontal="center" vertical="center"/>
    </xf>
    <xf numFmtId="164" fontId="0" fillId="16" borderId="0" xfId="0" applyNumberFormat="1" applyFill="1" applyAlignment="1">
      <alignment horizontal="center" vertical="center"/>
    </xf>
    <xf numFmtId="0" fontId="0" fillId="17" borderId="0" xfId="0" applyFill="1" applyAlignment="1">
      <alignment horizontal="center" vertical="center"/>
    </xf>
    <xf numFmtId="0" fontId="0" fillId="17" borderId="16" xfId="0" applyFill="1" applyBorder="1" applyAlignment="1">
      <alignment horizontal="center" vertical="center"/>
    </xf>
    <xf numFmtId="0" fontId="0" fillId="17" borderId="17" xfId="0" applyFill="1" applyBorder="1" applyAlignment="1">
      <alignment horizontal="center" vertical="center"/>
    </xf>
    <xf numFmtId="0" fontId="0" fillId="0" borderId="0" xfId="0" applyAlignment="1">
      <alignment horizontal="center" vertic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vertical="top" wrapText="1"/>
    </xf>
    <xf numFmtId="0" fontId="8" fillId="0" borderId="0" xfId="2" applyBorder="1" applyAlignment="1">
      <alignment vertical="top" wrapText="1"/>
    </xf>
    <xf numFmtId="0" fontId="0" fillId="0" borderId="29" xfId="0" applyBorder="1" applyAlignment="1">
      <alignment horizontal="center" vertical="center"/>
    </xf>
    <xf numFmtId="0" fontId="0" fillId="0" borderId="12" xfId="0" applyBorder="1" applyAlignment="1">
      <alignment horizontal="center" vertical="center"/>
    </xf>
    <xf numFmtId="0" fontId="0" fillId="0" borderId="31" xfId="0" applyBorder="1" applyAlignment="1">
      <alignment horizontal="center" vertical="center"/>
    </xf>
    <xf numFmtId="0" fontId="8" fillId="0" borderId="29" xfId="2" applyBorder="1" applyAlignment="1">
      <alignment vertical="top" wrapText="1"/>
    </xf>
    <xf numFmtId="0" fontId="0" fillId="0" borderId="29" xfId="0" applyBorder="1" applyAlignment="1">
      <alignment vertical="top" wrapText="1"/>
    </xf>
    <xf numFmtId="0" fontId="0" fillId="0" borderId="33" xfId="0" applyBorder="1" applyAlignment="1">
      <alignment horizontal="center" vertical="center"/>
    </xf>
    <xf numFmtId="0" fontId="8" fillId="0" borderId="33" xfId="2" applyBorder="1" applyAlignment="1">
      <alignment vertical="top" wrapText="1"/>
    </xf>
    <xf numFmtId="0" fontId="0" fillId="3" borderId="34" xfId="0" applyFill="1" applyBorder="1" applyAlignment="1">
      <alignment horizontal="center" vertical="center"/>
    </xf>
    <xf numFmtId="0" fontId="0" fillId="3" borderId="34" xfId="0" applyFill="1" applyBorder="1" applyAlignment="1">
      <alignment horizontal="center" vertical="top" wrapText="1"/>
    </xf>
    <xf numFmtId="0" fontId="0" fillId="3" borderId="35" xfId="0" applyFill="1" applyBorder="1" applyAlignment="1">
      <alignment horizontal="center" vertical="center"/>
    </xf>
    <xf numFmtId="0" fontId="0" fillId="0" borderId="37" xfId="0" applyBorder="1"/>
    <xf numFmtId="0" fontId="0" fillId="0" borderId="31" xfId="0" applyBorder="1" applyAlignment="1">
      <alignment vertical="top" wrapText="1"/>
    </xf>
    <xf numFmtId="0" fontId="8" fillId="0" borderId="31" xfId="2" applyBorder="1" applyAlignment="1">
      <alignment vertical="top" wrapText="1"/>
    </xf>
    <xf numFmtId="0" fontId="0" fillId="3" borderId="38" xfId="0" applyFill="1" applyBorder="1" applyAlignment="1">
      <alignment horizontal="center" vertical="center"/>
    </xf>
    <xf numFmtId="0" fontId="0" fillId="0" borderId="39" xfId="0"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0" fontId="0" fillId="18" borderId="42" xfId="0" applyFill="1" applyBorder="1" applyAlignment="1">
      <alignment horizontal="left" vertical="center"/>
    </xf>
    <xf numFmtId="0" fontId="0" fillId="18" borderId="22" xfId="0" applyFill="1" applyBorder="1" applyAlignment="1">
      <alignment horizontal="left" vertical="center"/>
    </xf>
    <xf numFmtId="0" fontId="0" fillId="18" borderId="21" xfId="0" applyFill="1" applyBorder="1" applyAlignment="1">
      <alignment horizontal="left" vertical="center"/>
    </xf>
    <xf numFmtId="0" fontId="8" fillId="0" borderId="33" xfId="2" applyBorder="1" applyAlignment="1">
      <alignment horizontal="center" vertical="top" wrapText="1"/>
    </xf>
    <xf numFmtId="0" fontId="8" fillId="0" borderId="29" xfId="2" applyBorder="1" applyAlignment="1">
      <alignment horizontal="center" vertical="top" wrapText="1"/>
    </xf>
    <xf numFmtId="0" fontId="8" fillId="0" borderId="31" xfId="2" applyBorder="1" applyAlignment="1">
      <alignment horizontal="center" vertical="top" wrapText="1"/>
    </xf>
    <xf numFmtId="0" fontId="0" fillId="0" borderId="0" xfId="0" applyAlignment="1">
      <alignment horizontal="center" vertical="top" wrapText="1"/>
    </xf>
    <xf numFmtId="0" fontId="0" fillId="0" borderId="29" xfId="0" applyBorder="1" applyAlignment="1">
      <alignment horizontal="center" vertical="top" wrapText="1"/>
    </xf>
    <xf numFmtId="0" fontId="0" fillId="0" borderId="37" xfId="0" applyBorder="1" applyAlignment="1">
      <alignment wrapText="1"/>
    </xf>
    <xf numFmtId="0" fontId="0" fillId="0" borderId="12" xfId="0" applyBorder="1" applyAlignment="1">
      <alignment wrapText="1"/>
    </xf>
    <xf numFmtId="0" fontId="0" fillId="0" borderId="31" xfId="0" applyBorder="1" applyAlignment="1">
      <alignment horizontal="center" vertical="top" wrapText="1"/>
    </xf>
    <xf numFmtId="0" fontId="0" fillId="0" borderId="12" xfId="0" applyBorder="1" applyAlignment="1">
      <alignment horizontal="left"/>
    </xf>
    <xf numFmtId="0" fontId="0" fillId="0" borderId="12" xfId="0" applyBorder="1" applyAlignment="1">
      <alignment horizontal="left" vertical="center" wrapText="1"/>
    </xf>
    <xf numFmtId="0" fontId="0" fillId="0" borderId="37" xfId="0" applyBorder="1" applyAlignment="1">
      <alignment vertical="center" wrapText="1"/>
    </xf>
    <xf numFmtId="0" fontId="0" fillId="3" borderId="30" xfId="0" applyFill="1" applyBorder="1" applyAlignment="1">
      <alignment horizontal="center" vertical="center"/>
    </xf>
    <xf numFmtId="0" fontId="0" fillId="3" borderId="10" xfId="0" applyFill="1" applyBorder="1" applyAlignment="1">
      <alignment horizontal="center" vertical="center"/>
    </xf>
    <xf numFmtId="0" fontId="0" fillId="3" borderId="30" xfId="0" applyFill="1" applyBorder="1" applyAlignment="1">
      <alignment horizontal="center" vertical="top" wrapText="1"/>
    </xf>
    <xf numFmtId="0" fontId="0" fillId="3" borderId="34" xfId="0" applyFill="1" applyBorder="1" applyAlignment="1">
      <alignment horizontal="center" vertical="center" wrapText="1"/>
    </xf>
    <xf numFmtId="0" fontId="0" fillId="18" borderId="22" xfId="0" applyFill="1" applyBorder="1" applyAlignment="1">
      <alignment horizontal="left" vertical="center" wrapText="1"/>
    </xf>
    <xf numFmtId="0" fontId="5" fillId="0" borderId="37" xfId="2" applyFont="1" applyBorder="1" applyAlignment="1">
      <alignment wrapText="1"/>
    </xf>
    <xf numFmtId="0" fontId="0" fillId="3" borderId="45" xfId="0" applyFill="1" applyBorder="1" applyAlignment="1">
      <alignment horizontal="center" vertical="center"/>
    </xf>
    <xf numFmtId="0" fontId="0" fillId="18" borderId="42" xfId="0" applyFill="1" applyBorder="1" applyAlignment="1">
      <alignment vertical="center"/>
    </xf>
    <xf numFmtId="0" fontId="0" fillId="18" borderId="22" xfId="0" applyFill="1" applyBorder="1"/>
    <xf numFmtId="0" fontId="0" fillId="18" borderId="22" xfId="0" applyFill="1" applyBorder="1" applyAlignment="1">
      <alignment vertical="center"/>
    </xf>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7" fillId="2" borderId="20" xfId="0" applyFont="1" applyFill="1" applyBorder="1" applyAlignment="1">
      <alignment horizontal="center" vertical="center"/>
    </xf>
    <xf numFmtId="0" fontId="0" fillId="0" borderId="29" xfId="0" applyBorder="1" applyAlignment="1">
      <alignment horizontal="center"/>
    </xf>
    <xf numFmtId="0" fontId="0" fillId="0" borderId="12" xfId="0" applyBorder="1" applyAlignment="1">
      <alignment vertical="center" wrapText="1"/>
    </xf>
    <xf numFmtId="0" fontId="0" fillId="18" borderId="42" xfId="0" applyFill="1" applyBorder="1" applyAlignment="1">
      <alignment horizontal="left" vertical="center" wrapText="1"/>
    </xf>
    <xf numFmtId="0" fontId="0" fillId="18" borderId="21" xfId="0" applyFill="1" applyBorder="1" applyAlignment="1">
      <alignment horizontal="left" vertical="center" wrapText="1"/>
    </xf>
    <xf numFmtId="0" fontId="0" fillId="0" borderId="12" xfId="0" applyBorder="1" applyAlignment="1">
      <alignment vertical="center"/>
    </xf>
    <xf numFmtId="0" fontId="0" fillId="0" borderId="12" xfId="0" applyBorder="1" applyAlignment="1">
      <alignment horizontal="left" wrapText="1"/>
    </xf>
    <xf numFmtId="0" fontId="0" fillId="18" borderId="42" xfId="0" applyFill="1" applyBorder="1" applyAlignment="1">
      <alignment vertical="center" wrapText="1"/>
    </xf>
    <xf numFmtId="0" fontId="0" fillId="0" borderId="40" xfId="0" applyBorder="1" applyAlignment="1">
      <alignment horizontal="center"/>
    </xf>
    <xf numFmtId="0" fontId="0" fillId="0" borderId="29" xfId="0" applyBorder="1" applyAlignment="1">
      <alignment horizontal="left" vertical="top" wrapText="1"/>
    </xf>
    <xf numFmtId="0" fontId="0" fillId="0" borderId="12" xfId="0" applyBorder="1" applyAlignment="1">
      <alignment horizontal="left" vertical="center"/>
    </xf>
    <xf numFmtId="0" fontId="0" fillId="0" borderId="39" xfId="0" applyBorder="1" applyAlignment="1">
      <alignment horizontal="center"/>
    </xf>
    <xf numFmtId="0" fontId="0" fillId="0" borderId="33" xfId="0" applyBorder="1" applyAlignment="1">
      <alignment horizontal="center"/>
    </xf>
    <xf numFmtId="0" fontId="0" fillId="0" borderId="37" xfId="0" applyBorder="1" applyAlignment="1">
      <alignment vertical="center"/>
    </xf>
    <xf numFmtId="0" fontId="0" fillId="0" borderId="41" xfId="0" applyBorder="1" applyAlignment="1">
      <alignment horizontal="center"/>
    </xf>
    <xf numFmtId="0" fontId="0" fillId="0" borderId="31" xfId="0" applyBorder="1" applyAlignment="1">
      <alignment horizontal="center"/>
    </xf>
    <xf numFmtId="0" fontId="0" fillId="0" borderId="14" xfId="0" applyBorder="1" applyAlignment="1">
      <alignment vertical="center"/>
    </xf>
    <xf numFmtId="0" fontId="0" fillId="0" borderId="43" xfId="0" applyBorder="1" applyAlignment="1">
      <alignment vertical="top" wrapText="1"/>
    </xf>
    <xf numFmtId="0" fontId="0" fillId="0" borderId="1" xfId="0" applyBorder="1" applyAlignment="1">
      <alignment horizontal="center" vertical="center" wrapText="1"/>
    </xf>
    <xf numFmtId="0" fontId="7" fillId="0" borderId="1" xfId="0" applyFont="1" applyBorder="1" applyAlignment="1">
      <alignment horizontal="center" vertical="center"/>
    </xf>
    <xf numFmtId="0" fontId="0" fillId="0" borderId="47" xfId="0" applyBorder="1"/>
    <xf numFmtId="0" fontId="0" fillId="0" borderId="43" xfId="0" applyBorder="1"/>
    <xf numFmtId="1" fontId="0" fillId="0" borderId="29" xfId="0" applyNumberFormat="1" applyBorder="1" applyAlignment="1">
      <alignment horizontal="center" vertical="center"/>
    </xf>
    <xf numFmtId="0" fontId="0" fillId="0" borderId="33" xfId="0" applyBorder="1" applyAlignment="1">
      <alignment horizontal="center" vertical="top" wrapText="1"/>
    </xf>
    <xf numFmtId="0" fontId="0" fillId="0" borderId="37" xfId="0" applyBorder="1" applyAlignment="1">
      <alignment horizontal="left" wrapText="1"/>
    </xf>
    <xf numFmtId="0" fontId="0" fillId="0" borderId="14" xfId="0" applyBorder="1" applyAlignment="1">
      <alignment wrapText="1"/>
    </xf>
    <xf numFmtId="0" fontId="5" fillId="0" borderId="3" xfId="0" applyFont="1" applyBorder="1" applyAlignment="1">
      <alignment horizontal="center" wrapText="1"/>
    </xf>
    <xf numFmtId="0" fontId="5" fillId="0" borderId="3" xfId="0" applyFont="1" applyBorder="1" applyAlignment="1">
      <alignment horizontal="center" vertical="center"/>
    </xf>
    <xf numFmtId="0" fontId="5" fillId="0" borderId="3" xfId="0" applyFont="1" applyBorder="1" applyAlignment="1">
      <alignment horizontal="center" vertical="center" wrapText="1"/>
    </xf>
    <xf numFmtId="0" fontId="0" fillId="4" borderId="3" xfId="0" applyFill="1" applyBorder="1" applyAlignment="1">
      <alignment horizontal="center" vertical="center"/>
    </xf>
    <xf numFmtId="0" fontId="0" fillId="11" borderId="3" xfId="0" applyFill="1" applyBorder="1" applyAlignment="1">
      <alignment horizontal="center" vertical="center"/>
    </xf>
    <xf numFmtId="0" fontId="0" fillId="4" borderId="3" xfId="0" applyFill="1" applyBorder="1" applyAlignment="1">
      <alignment vertical="center"/>
    </xf>
    <xf numFmtId="0" fontId="0" fillId="4" borderId="4" xfId="0" applyFill="1" applyBorder="1" applyAlignment="1">
      <alignment horizontal="center" vertical="center"/>
    </xf>
    <xf numFmtId="0" fontId="0" fillId="11" borderId="4" xfId="0" applyFill="1" applyBorder="1" applyAlignment="1">
      <alignment horizontal="center" vertical="center"/>
    </xf>
    <xf numFmtId="0" fontId="7" fillId="12" borderId="1" xfId="0" applyFont="1" applyFill="1" applyBorder="1" applyAlignment="1">
      <alignment vertical="center"/>
    </xf>
    <xf numFmtId="0" fontId="6" fillId="0" borderId="0" xfId="0" applyFont="1" applyAlignment="1">
      <alignment horizontal="center" vertical="center"/>
    </xf>
    <xf numFmtId="0" fontId="4" fillId="9" borderId="6" xfId="0" applyFont="1" applyFill="1" applyBorder="1" applyAlignment="1">
      <alignment horizontal="center"/>
    </xf>
    <xf numFmtId="0" fontId="4" fillId="9" borderId="48" xfId="0" applyFont="1" applyFill="1" applyBorder="1" applyAlignment="1">
      <alignment horizontal="center"/>
    </xf>
    <xf numFmtId="0" fontId="4" fillId="9" borderId="48" xfId="0" applyFont="1" applyFill="1" applyBorder="1" applyAlignment="1">
      <alignment horizontal="center" vertical="center"/>
    </xf>
    <xf numFmtId="0" fontId="4" fillId="9" borderId="19" xfId="0" applyFont="1" applyFill="1" applyBorder="1" applyAlignment="1">
      <alignment horizontal="center"/>
    </xf>
    <xf numFmtId="0" fontId="5" fillId="0" borderId="4" xfId="0" applyFont="1" applyBorder="1" applyAlignment="1">
      <alignment horizontal="center"/>
    </xf>
    <xf numFmtId="0" fontId="9" fillId="19" borderId="49" xfId="0" applyFont="1" applyFill="1" applyBorder="1" applyAlignment="1">
      <alignment horizontal="center" vertical="center" wrapText="1"/>
    </xf>
    <xf numFmtId="0" fontId="0" fillId="0" borderId="50" xfId="0" applyBorder="1" applyAlignment="1">
      <alignment horizontal="center" vertical="center" wrapText="1"/>
    </xf>
    <xf numFmtId="0" fontId="0" fillId="0" borderId="50" xfId="0" applyBorder="1" applyAlignment="1">
      <alignment horizontal="center" vertical="center"/>
    </xf>
    <xf numFmtId="0" fontId="0" fillId="0" borderId="50" xfId="0" applyBorder="1" applyAlignment="1">
      <alignment horizontal="center"/>
    </xf>
    <xf numFmtId="0" fontId="0" fillId="0" borderId="51" xfId="0" applyBorder="1" applyAlignment="1">
      <alignment horizontal="center" vertical="center"/>
    </xf>
    <xf numFmtId="0" fontId="0" fillId="19" borderId="52" xfId="0" applyFill="1" applyBorder="1" applyAlignment="1">
      <alignment horizontal="center" vertical="center" wrapText="1"/>
    </xf>
    <xf numFmtId="0" fontId="0" fillId="20" borderId="53" xfId="0" applyFill="1" applyBorder="1" applyAlignment="1">
      <alignment horizontal="center" vertical="center" wrapText="1"/>
    </xf>
    <xf numFmtId="0" fontId="0" fillId="20" borderId="54" xfId="0" applyFill="1" applyBorder="1" applyAlignment="1">
      <alignment horizontal="center" vertical="center" wrapText="1"/>
    </xf>
    <xf numFmtId="0" fontId="0" fillId="20" borderId="55" xfId="0" applyFill="1" applyBorder="1" applyAlignment="1">
      <alignment horizontal="center" vertical="center" wrapText="1"/>
    </xf>
    <xf numFmtId="0" fontId="9" fillId="19" borderId="56" xfId="0" applyFont="1" applyFill="1" applyBorder="1" applyAlignment="1">
      <alignment horizontal="center" vertical="center" wrapText="1"/>
    </xf>
    <xf numFmtId="0" fontId="9" fillId="19" borderId="57" xfId="0" applyFont="1" applyFill="1" applyBorder="1" applyAlignment="1">
      <alignment horizontal="center" vertical="center" wrapText="1"/>
    </xf>
    <xf numFmtId="0" fontId="0" fillId="21" borderId="58" xfId="0" applyFill="1" applyBorder="1" applyAlignment="1">
      <alignment horizontal="center" vertical="center" wrapText="1"/>
    </xf>
    <xf numFmtId="0" fontId="0" fillId="23" borderId="58" xfId="0" applyFill="1" applyBorder="1" applyAlignment="1">
      <alignment horizontal="center" vertical="center" wrapText="1"/>
    </xf>
    <xf numFmtId="0" fontId="0" fillId="21" borderId="59" xfId="0" applyFill="1" applyBorder="1" applyAlignment="1">
      <alignment horizontal="center" vertical="center" wrapText="1"/>
    </xf>
    <xf numFmtId="0" fontId="9" fillId="19" borderId="60" xfId="0" applyFont="1" applyFill="1" applyBorder="1" applyAlignment="1">
      <alignment horizontal="center" vertical="center" wrapText="1"/>
    </xf>
    <xf numFmtId="0" fontId="0" fillId="0" borderId="53" xfId="0" applyBorder="1" applyAlignment="1">
      <alignment horizontal="center" vertical="center" wrapText="1"/>
    </xf>
    <xf numFmtId="0" fontId="0" fillId="0" borderId="54" xfId="0" applyBorder="1" applyAlignment="1">
      <alignment horizontal="center" vertical="center" wrapText="1"/>
    </xf>
    <xf numFmtId="0" fontId="0" fillId="22" borderId="54" xfId="0" applyFill="1" applyBorder="1" applyAlignment="1">
      <alignment horizontal="center" vertical="center" wrapText="1"/>
    </xf>
    <xf numFmtId="0" fontId="0" fillId="0" borderId="55" xfId="0" applyBorder="1" applyAlignment="1">
      <alignment horizontal="center" vertical="center" wrapText="1"/>
    </xf>
    <xf numFmtId="0" fontId="0" fillId="20" borderId="61" xfId="0" applyFill="1" applyBorder="1" applyAlignment="1">
      <alignment horizontal="center" vertical="center" wrapText="1"/>
    </xf>
    <xf numFmtId="0" fontId="0" fillId="2" borderId="61" xfId="0" applyFill="1" applyBorder="1" applyAlignment="1">
      <alignment horizontal="center" vertical="center" wrapText="1"/>
    </xf>
    <xf numFmtId="0" fontId="0" fillId="2" borderId="62" xfId="0" applyFill="1" applyBorder="1" applyAlignment="1">
      <alignment horizontal="center" vertical="center" wrapText="1"/>
    </xf>
    <xf numFmtId="0" fontId="9" fillId="19" borderId="52" xfId="0" applyFont="1" applyFill="1" applyBorder="1" applyAlignment="1">
      <alignment horizontal="center" vertical="center" wrapText="1"/>
    </xf>
    <xf numFmtId="0" fontId="0" fillId="0" borderId="19" xfId="0" applyBorder="1" applyAlignment="1">
      <alignment horizontal="center" vertical="center"/>
    </xf>
    <xf numFmtId="0" fontId="0" fillId="0" borderId="18" xfId="0" applyBorder="1" applyAlignment="1">
      <alignment horizontal="center" vertical="center"/>
    </xf>
    <xf numFmtId="0" fontId="0" fillId="0" borderId="48" xfId="0" applyBorder="1" applyAlignment="1">
      <alignment horizontal="center"/>
    </xf>
    <xf numFmtId="0" fontId="0" fillId="0" borderId="17" xfId="0" applyBorder="1" applyAlignment="1">
      <alignment horizontal="center"/>
    </xf>
    <xf numFmtId="0" fontId="0" fillId="20" borderId="62" xfId="0"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vertical="center" wrapText="1"/>
    </xf>
    <xf numFmtId="0" fontId="8" fillId="0" borderId="64" xfId="2" applyBorder="1" applyAlignment="1">
      <alignment horizontal="center" vertical="top" wrapText="1"/>
    </xf>
    <xf numFmtId="0" fontId="8" fillId="0" borderId="65" xfId="2" applyBorder="1" applyAlignment="1">
      <alignment horizontal="center" vertical="top" wrapText="1"/>
    </xf>
    <xf numFmtId="0" fontId="5" fillId="0" borderId="64" xfId="2" applyFont="1" applyBorder="1" applyAlignment="1">
      <alignment horizontal="center" vertical="center" wrapText="1"/>
    </xf>
    <xf numFmtId="0" fontId="5" fillId="0" borderId="65" xfId="2" applyFont="1" applyBorder="1" applyAlignment="1">
      <alignment horizontal="center" vertical="center" wrapText="1"/>
    </xf>
    <xf numFmtId="0" fontId="7" fillId="24" borderId="63" xfId="0" applyFont="1" applyFill="1" applyBorder="1" applyAlignment="1">
      <alignment horizontal="center" vertical="center"/>
    </xf>
    <xf numFmtId="0" fontId="7" fillId="24" borderId="35" xfId="0" applyFont="1" applyFill="1" applyBorder="1" applyAlignment="1">
      <alignment horizontal="center" vertical="center"/>
    </xf>
    <xf numFmtId="0" fontId="0" fillId="25" borderId="2" xfId="0" applyFill="1" applyBorder="1" applyAlignment="1">
      <alignment horizontal="center" vertical="center"/>
    </xf>
    <xf numFmtId="0" fontId="0" fillId="25" borderId="16" xfId="0" applyFill="1" applyBorder="1" applyAlignment="1">
      <alignment horizontal="center" vertical="center"/>
    </xf>
    <xf numFmtId="0" fontId="5" fillId="0" borderId="66" xfId="2" applyFont="1" applyBorder="1" applyAlignment="1">
      <alignment horizontal="center" vertical="center" wrapText="1"/>
    </xf>
    <xf numFmtId="0" fontId="8" fillId="0" borderId="66" xfId="2" applyBorder="1" applyAlignment="1">
      <alignment horizontal="center" vertical="top" wrapText="1"/>
    </xf>
    <xf numFmtId="0" fontId="0" fillId="26" borderId="20" xfId="0" applyFill="1" applyBorder="1" applyAlignment="1">
      <alignment horizontal="center" vertical="center"/>
    </xf>
    <xf numFmtId="0" fontId="0" fillId="26" borderId="22" xfId="0" applyFill="1" applyBorder="1" applyAlignment="1">
      <alignment horizontal="center" vertical="center"/>
    </xf>
    <xf numFmtId="0" fontId="0" fillId="26" borderId="21" xfId="0" applyFill="1" applyBorder="1" applyAlignment="1">
      <alignment horizontal="center" vertical="center"/>
    </xf>
    <xf numFmtId="0" fontId="5" fillId="0" borderId="64" xfId="2" applyFont="1" applyBorder="1" applyAlignment="1">
      <alignment horizontal="left" vertical="center" wrapText="1"/>
    </xf>
    <xf numFmtId="0" fontId="8" fillId="0" borderId="29" xfId="2" applyBorder="1" applyAlignment="1">
      <alignment horizontal="left" vertical="top" wrapText="1"/>
    </xf>
    <xf numFmtId="0" fontId="0" fillId="12" borderId="0" xfId="0" applyFill="1" applyAlignment="1">
      <alignment horizontal="center" vertical="center" wrapText="1"/>
    </xf>
    <xf numFmtId="0" fontId="7" fillId="12" borderId="6" xfId="0" applyFont="1" applyFill="1" applyBorder="1" applyAlignment="1">
      <alignment horizontal="center" vertical="center" wrapText="1"/>
    </xf>
    <xf numFmtId="0" fontId="7" fillId="12" borderId="7" xfId="0" applyFont="1" applyFill="1" applyBorder="1" applyAlignment="1">
      <alignment horizontal="center" vertical="center" wrapText="1"/>
    </xf>
    <xf numFmtId="0" fontId="0" fillId="0" borderId="44" xfId="0" applyBorder="1" applyAlignment="1">
      <alignment horizontal="left" vertical="top" wrapText="1"/>
    </xf>
    <xf numFmtId="0" fontId="0" fillId="0" borderId="46" xfId="0" applyBorder="1" applyAlignment="1">
      <alignment horizontal="left" vertical="top" wrapText="1"/>
    </xf>
    <xf numFmtId="0" fontId="0" fillId="0" borderId="37" xfId="0" applyBorder="1" applyAlignment="1">
      <alignment horizontal="left" vertical="top" wrapText="1"/>
    </xf>
    <xf numFmtId="0" fontId="8" fillId="0" borderId="32" xfId="2" applyBorder="1" applyAlignment="1">
      <alignment horizontal="center" vertical="top" wrapText="1"/>
    </xf>
    <xf numFmtId="0" fontId="8" fillId="0" borderId="43" xfId="2" applyBorder="1" applyAlignment="1">
      <alignment horizontal="center" vertical="top" wrapText="1"/>
    </xf>
    <xf numFmtId="0" fontId="8" fillId="0" borderId="33" xfId="2" applyBorder="1" applyAlignment="1">
      <alignment horizontal="center" vertical="top" wrapText="1"/>
    </xf>
    <xf numFmtId="0" fontId="0" fillId="0" borderId="29" xfId="0" applyBorder="1" applyAlignment="1">
      <alignment horizontal="center" vertical="center"/>
    </xf>
    <xf numFmtId="0" fontId="0" fillId="18" borderId="22" xfId="0" applyFill="1" applyBorder="1" applyAlignment="1">
      <alignment horizontal="left" vertical="center"/>
    </xf>
    <xf numFmtId="0" fontId="0" fillId="0" borderId="40" xfId="0" applyBorder="1" applyAlignment="1">
      <alignment horizontal="center" vertical="center"/>
    </xf>
    <xf numFmtId="0" fontId="0" fillId="0" borderId="12" xfId="0" applyBorder="1" applyAlignment="1">
      <alignment horizontal="left" vertical="center" wrapText="1"/>
    </xf>
    <xf numFmtId="0" fontId="0" fillId="0" borderId="33" xfId="0" applyBorder="1" applyAlignment="1">
      <alignment horizontal="center" vertical="top" wrapText="1"/>
    </xf>
    <xf numFmtId="0" fontId="0" fillId="0" borderId="29" xfId="0" applyBorder="1" applyAlignment="1">
      <alignment horizontal="center" vertical="top" wrapText="1"/>
    </xf>
    <xf numFmtId="0" fontId="8" fillId="0" borderId="29" xfId="2" applyBorder="1" applyAlignment="1">
      <alignment horizontal="center" vertical="top" wrapText="1"/>
    </xf>
    <xf numFmtId="0" fontId="8" fillId="0" borderId="31" xfId="2" applyBorder="1" applyAlignment="1">
      <alignment horizontal="center" vertical="top" wrapText="1"/>
    </xf>
    <xf numFmtId="0" fontId="0" fillId="0" borderId="37" xfId="0" applyBorder="1" applyAlignment="1">
      <alignment horizontal="left" vertical="center" wrapText="1"/>
    </xf>
    <xf numFmtId="0" fontId="0" fillId="0" borderId="31" xfId="0" applyBorder="1" applyAlignment="1">
      <alignment horizontal="center" vertical="top" wrapText="1"/>
    </xf>
    <xf numFmtId="0" fontId="8" fillId="0" borderId="24" xfId="2" applyBorder="1" applyAlignment="1">
      <alignment horizontal="center" vertical="top" wrapText="1"/>
    </xf>
    <xf numFmtId="0" fontId="8" fillId="0" borderId="27" xfId="2" applyBorder="1" applyAlignment="1">
      <alignment horizontal="center" vertical="top" wrapText="1"/>
    </xf>
    <xf numFmtId="0" fontId="0" fillId="0" borderId="31" xfId="0" applyBorder="1" applyAlignment="1">
      <alignment horizontal="center" vertical="center"/>
    </xf>
    <xf numFmtId="0" fontId="0" fillId="18" borderId="22" xfId="0" applyFill="1" applyBorder="1" applyAlignment="1">
      <alignment horizontal="left" vertical="center" wrapText="1"/>
    </xf>
    <xf numFmtId="0" fontId="0" fillId="18" borderId="21" xfId="0" applyFill="1" applyBorder="1" applyAlignment="1">
      <alignment horizontal="left" vertical="center" wrapText="1"/>
    </xf>
    <xf numFmtId="0" fontId="0" fillId="0" borderId="41" xfId="0" applyBorder="1" applyAlignment="1">
      <alignment horizontal="center" vertical="center"/>
    </xf>
    <xf numFmtId="0" fontId="0" fillId="0" borderId="12" xfId="0" applyBorder="1" applyAlignment="1">
      <alignment horizontal="left" vertical="center"/>
    </xf>
    <xf numFmtId="0" fontId="0" fillId="0" borderId="14" xfId="0" applyBorder="1" applyAlignment="1">
      <alignment horizontal="left" vertical="center" wrapText="1"/>
    </xf>
    <xf numFmtId="0" fontId="0" fillId="0" borderId="44" xfId="0" applyBorder="1" applyAlignment="1">
      <alignment horizontal="left" vertical="center"/>
    </xf>
    <xf numFmtId="0" fontId="0" fillId="0" borderId="46" xfId="0" applyBorder="1" applyAlignment="1">
      <alignment horizontal="left" vertical="center"/>
    </xf>
    <xf numFmtId="0" fontId="0" fillId="0" borderId="37" xfId="0" applyBorder="1" applyAlignment="1">
      <alignment horizontal="left" vertical="center"/>
    </xf>
    <xf numFmtId="0" fontId="0" fillId="0" borderId="44" xfId="0" applyBorder="1" applyAlignment="1">
      <alignment horizontal="left" vertical="center" wrapText="1"/>
    </xf>
    <xf numFmtId="0" fontId="0" fillId="0" borderId="46" xfId="0" applyBorder="1" applyAlignment="1">
      <alignment horizontal="left" vertical="center" wrapText="1"/>
    </xf>
    <xf numFmtId="0" fontId="0" fillId="0" borderId="36" xfId="0" applyBorder="1" applyAlignment="1">
      <alignment horizontal="left" vertical="center" wrapText="1"/>
    </xf>
    <xf numFmtId="0" fontId="0" fillId="18" borderId="42" xfId="0" applyFill="1" applyBorder="1" applyAlignment="1">
      <alignment horizontal="left" vertical="center"/>
    </xf>
    <xf numFmtId="0" fontId="0" fillId="0" borderId="39" xfId="0" applyBorder="1" applyAlignment="1">
      <alignment horizontal="center" vertical="center"/>
    </xf>
    <xf numFmtId="0" fontId="0" fillId="0" borderId="33" xfId="0" applyBorder="1" applyAlignment="1">
      <alignment horizontal="center" vertical="center"/>
    </xf>
    <xf numFmtId="0" fontId="8" fillId="0" borderId="33" xfId="2" applyBorder="1" applyAlignment="1">
      <alignment horizontal="center" vertical="center" wrapText="1"/>
    </xf>
    <xf numFmtId="0" fontId="8" fillId="0" borderId="29" xfId="2" applyBorder="1" applyAlignment="1">
      <alignment horizontal="center" vertical="center" wrapText="1"/>
    </xf>
    <xf numFmtId="0" fontId="8" fillId="0" borderId="31" xfId="2" applyBorder="1" applyAlignment="1">
      <alignment horizontal="center" vertical="center" wrapText="1"/>
    </xf>
    <xf numFmtId="0" fontId="8" fillId="0" borderId="33" xfId="2" applyBorder="1" applyAlignment="1">
      <alignment horizontal="center" wrapText="1"/>
    </xf>
    <xf numFmtId="0" fontId="8" fillId="0" borderId="29" xfId="2" applyBorder="1" applyAlignment="1">
      <alignment horizontal="center" wrapText="1"/>
    </xf>
    <xf numFmtId="0" fontId="8" fillId="0" borderId="31" xfId="2" applyBorder="1" applyAlignment="1">
      <alignment horizontal="center" wrapText="1"/>
    </xf>
  </cellXfs>
  <cellStyles count="3">
    <cellStyle name="Hyperlink" xfId="2" builtinId="8"/>
    <cellStyle name="Normal" xfId="0" builtinId="0"/>
    <cellStyle name="Normal 3"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28"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0</xdr:col>
      <xdr:colOff>0</xdr:colOff>
      <xdr:row>15</xdr:row>
      <xdr:rowOff>38100</xdr:rowOff>
    </xdr:from>
    <xdr:to>
      <xdr:col>1</xdr:col>
      <xdr:colOff>586740</xdr:colOff>
      <xdr:row>17</xdr:row>
      <xdr:rowOff>160020</xdr:rowOff>
    </xdr:to>
    <xdr:sp macro="" textlink="">
      <xdr:nvSpPr>
        <xdr:cNvPr id="2" name="Rectángulo: esquinas redondeadas 1">
          <a:extLst>
            <a:ext uri="{FF2B5EF4-FFF2-40B4-BE49-F238E27FC236}">
              <a16:creationId xmlns:a16="http://schemas.microsoft.com/office/drawing/2014/main" id="{875C5C5D-B2F3-4053-8860-19A42E7CACEA}"/>
            </a:ext>
          </a:extLst>
        </xdr:cNvPr>
        <xdr:cNvSpPr/>
      </xdr:nvSpPr>
      <xdr:spPr>
        <a:xfrm>
          <a:off x="0" y="2804160"/>
          <a:ext cx="1379220" cy="4876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t>PEM Electrolyzer</a:t>
          </a:r>
        </a:p>
        <a:p>
          <a:pPr algn="ctr"/>
          <a:r>
            <a:rPr lang="es-CL" sz="1100"/>
            <a:t>(30-60-70 bar)</a:t>
          </a:r>
        </a:p>
      </xdr:txBody>
    </xdr:sp>
    <xdr:clientData/>
  </xdr:twoCellAnchor>
  <xdr:twoCellAnchor>
    <xdr:from>
      <xdr:col>6</xdr:col>
      <xdr:colOff>769620</xdr:colOff>
      <xdr:row>29</xdr:row>
      <xdr:rowOff>68580</xdr:rowOff>
    </xdr:from>
    <xdr:to>
      <xdr:col>8</xdr:col>
      <xdr:colOff>754380</xdr:colOff>
      <xdr:row>32</xdr:row>
      <xdr:rowOff>0</xdr:rowOff>
    </xdr:to>
    <xdr:sp macro="" textlink="">
      <xdr:nvSpPr>
        <xdr:cNvPr id="3" name="Rectángulo: esquinas redondeadas 2">
          <a:extLst>
            <a:ext uri="{FF2B5EF4-FFF2-40B4-BE49-F238E27FC236}">
              <a16:creationId xmlns:a16="http://schemas.microsoft.com/office/drawing/2014/main" id="{A73FC1FA-FBD4-4044-B29C-F4C65914CC30}"/>
            </a:ext>
          </a:extLst>
        </xdr:cNvPr>
        <xdr:cNvSpPr/>
      </xdr:nvSpPr>
      <xdr:spPr>
        <a:xfrm>
          <a:off x="6111240" y="5394960"/>
          <a:ext cx="1569720" cy="4800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t>LH2 Storage</a:t>
          </a:r>
        </a:p>
        <a:p>
          <a:pPr algn="ctr"/>
          <a:r>
            <a:rPr lang="es-CL" sz="1100"/>
            <a:t>(Cryo</a:t>
          </a:r>
          <a:r>
            <a:rPr lang="es-CL" sz="1100" baseline="0"/>
            <a:t> &amp; </a:t>
          </a:r>
          <a:r>
            <a:rPr lang="es-CL" sz="1100"/>
            <a:t>Atm)</a:t>
          </a:r>
        </a:p>
      </xdr:txBody>
    </xdr:sp>
    <xdr:clientData/>
  </xdr:twoCellAnchor>
  <xdr:twoCellAnchor>
    <xdr:from>
      <xdr:col>5</xdr:col>
      <xdr:colOff>15240</xdr:colOff>
      <xdr:row>10</xdr:row>
      <xdr:rowOff>45720</xdr:rowOff>
    </xdr:from>
    <xdr:to>
      <xdr:col>7</xdr:col>
      <xdr:colOff>0</xdr:colOff>
      <xdr:row>13</xdr:row>
      <xdr:rowOff>38100</xdr:rowOff>
    </xdr:to>
    <xdr:sp macro="" textlink="">
      <xdr:nvSpPr>
        <xdr:cNvPr id="4" name="Rectángulo: esquinas redondeadas 3">
          <a:extLst>
            <a:ext uri="{FF2B5EF4-FFF2-40B4-BE49-F238E27FC236}">
              <a16:creationId xmlns:a16="http://schemas.microsoft.com/office/drawing/2014/main" id="{70D52FED-DAD0-4F40-914C-DBE5EE28841D}"/>
            </a:ext>
          </a:extLst>
        </xdr:cNvPr>
        <xdr:cNvSpPr/>
      </xdr:nvSpPr>
      <xdr:spPr>
        <a:xfrm>
          <a:off x="4564380" y="1897380"/>
          <a:ext cx="1569720" cy="5410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t>Seasonal GH2 Storage</a:t>
          </a:r>
        </a:p>
        <a:p>
          <a:pPr algn="ctr"/>
          <a:r>
            <a:rPr lang="es-CL" sz="1100"/>
            <a:t>(35-200 bar)</a:t>
          </a:r>
        </a:p>
      </xdr:txBody>
    </xdr:sp>
    <xdr:clientData/>
  </xdr:twoCellAnchor>
  <xdr:twoCellAnchor>
    <xdr:from>
      <xdr:col>1</xdr:col>
      <xdr:colOff>1371600</xdr:colOff>
      <xdr:row>21</xdr:row>
      <xdr:rowOff>7620</xdr:rowOff>
    </xdr:from>
    <xdr:to>
      <xdr:col>3</xdr:col>
      <xdr:colOff>777240</xdr:colOff>
      <xdr:row>23</xdr:row>
      <xdr:rowOff>144780</xdr:rowOff>
    </xdr:to>
    <xdr:sp macro="" textlink="">
      <xdr:nvSpPr>
        <xdr:cNvPr id="5" name="Rectángulo: esquinas redondeadas 4">
          <a:extLst>
            <a:ext uri="{FF2B5EF4-FFF2-40B4-BE49-F238E27FC236}">
              <a16:creationId xmlns:a16="http://schemas.microsoft.com/office/drawing/2014/main" id="{6C019188-BABC-4001-ADEB-9395C15349B0}"/>
            </a:ext>
          </a:extLst>
        </xdr:cNvPr>
        <xdr:cNvSpPr/>
      </xdr:nvSpPr>
      <xdr:spPr>
        <a:xfrm>
          <a:off x="2164080" y="3870960"/>
          <a:ext cx="1577340" cy="502920"/>
        </a:xfrm>
        <a:prstGeom prst="roundRec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t>GH2 Pipeline</a:t>
          </a:r>
        </a:p>
        <a:p>
          <a:pPr algn="ctr"/>
          <a:r>
            <a:rPr lang="es-CL" sz="1100"/>
            <a:t>(70-140</a:t>
          </a:r>
          <a:r>
            <a:rPr lang="es-CL" sz="1100" baseline="0"/>
            <a:t> bar</a:t>
          </a:r>
          <a:r>
            <a:rPr lang="es-CL" sz="1100"/>
            <a:t>)</a:t>
          </a:r>
        </a:p>
      </xdr:txBody>
    </xdr:sp>
    <xdr:clientData/>
  </xdr:twoCellAnchor>
  <xdr:twoCellAnchor>
    <xdr:from>
      <xdr:col>13</xdr:col>
      <xdr:colOff>7620</xdr:colOff>
      <xdr:row>15</xdr:row>
      <xdr:rowOff>22860</xdr:rowOff>
    </xdr:from>
    <xdr:to>
      <xdr:col>15</xdr:col>
      <xdr:colOff>7620</xdr:colOff>
      <xdr:row>17</xdr:row>
      <xdr:rowOff>160020</xdr:rowOff>
    </xdr:to>
    <xdr:sp macro="" textlink="">
      <xdr:nvSpPr>
        <xdr:cNvPr id="6" name="Rectángulo: esquinas redondeadas 5">
          <a:extLst>
            <a:ext uri="{FF2B5EF4-FFF2-40B4-BE49-F238E27FC236}">
              <a16:creationId xmlns:a16="http://schemas.microsoft.com/office/drawing/2014/main" id="{6D2122C7-C839-4F97-A6B5-FBCE4C03C979}"/>
            </a:ext>
          </a:extLst>
        </xdr:cNvPr>
        <xdr:cNvSpPr/>
      </xdr:nvSpPr>
      <xdr:spPr>
        <a:xfrm>
          <a:off x="10896600" y="2788920"/>
          <a:ext cx="1584960" cy="502920"/>
        </a:xfrm>
        <a:prstGeom prst="roundRect">
          <a:avLst/>
        </a:prstGeom>
        <a:gradFill>
          <a:gsLst>
            <a:gs pos="0">
              <a:schemeClr val="accent2">
                <a:lumMod val="75000"/>
              </a:schemeClr>
            </a:gs>
            <a:gs pos="57000">
              <a:schemeClr val="tx1"/>
            </a:gs>
            <a:gs pos="21000">
              <a:schemeClr val="accent2">
                <a:lumMod val="75000"/>
              </a:schemeClr>
            </a:gs>
            <a:gs pos="38000">
              <a:schemeClr val="accent2">
                <a:lumMod val="75000"/>
              </a:schemeClr>
            </a:gs>
            <a:gs pos="80000">
              <a:schemeClr val="tx1"/>
            </a:gs>
            <a:gs pos="100000">
              <a:schemeClr val="tx1"/>
            </a:gs>
          </a:gsLst>
          <a:lin ang="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t>Truck</a:t>
          </a:r>
        </a:p>
        <a:p>
          <a:pPr algn="ctr"/>
          <a:r>
            <a:rPr lang="es-CL" sz="1100"/>
            <a:t>(350 bar Fuel)</a:t>
          </a:r>
        </a:p>
      </xdr:txBody>
    </xdr:sp>
    <xdr:clientData/>
  </xdr:twoCellAnchor>
  <xdr:twoCellAnchor>
    <xdr:from>
      <xdr:col>16</xdr:col>
      <xdr:colOff>548640</xdr:colOff>
      <xdr:row>15</xdr:row>
      <xdr:rowOff>22860</xdr:rowOff>
    </xdr:from>
    <xdr:to>
      <xdr:col>18</xdr:col>
      <xdr:colOff>525780</xdr:colOff>
      <xdr:row>17</xdr:row>
      <xdr:rowOff>137160</xdr:rowOff>
    </xdr:to>
    <xdr:sp macro="" textlink="">
      <xdr:nvSpPr>
        <xdr:cNvPr id="7" name="Rectángulo: esquinas redondeadas 6">
          <a:extLst>
            <a:ext uri="{FF2B5EF4-FFF2-40B4-BE49-F238E27FC236}">
              <a16:creationId xmlns:a16="http://schemas.microsoft.com/office/drawing/2014/main" id="{E3FA7CEF-1AE8-4EDB-9EBE-F14AFBC62CB1}"/>
            </a:ext>
          </a:extLst>
        </xdr:cNvPr>
        <xdr:cNvSpPr/>
      </xdr:nvSpPr>
      <xdr:spPr>
        <a:xfrm>
          <a:off x="13815060" y="2788920"/>
          <a:ext cx="1562100" cy="480060"/>
        </a:xfrm>
        <a:prstGeom prst="roundRec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t>GH2 Trailer</a:t>
          </a:r>
        </a:p>
        <a:p>
          <a:pPr algn="ctr"/>
          <a:r>
            <a:rPr lang="es-CL" sz="1100"/>
            <a:t>(350-500-700 bar)</a:t>
          </a:r>
        </a:p>
      </xdr:txBody>
    </xdr:sp>
    <xdr:clientData/>
  </xdr:twoCellAnchor>
  <xdr:twoCellAnchor>
    <xdr:from>
      <xdr:col>16</xdr:col>
      <xdr:colOff>563880</xdr:colOff>
      <xdr:row>20</xdr:row>
      <xdr:rowOff>0</xdr:rowOff>
    </xdr:from>
    <xdr:to>
      <xdr:col>18</xdr:col>
      <xdr:colOff>556260</xdr:colOff>
      <xdr:row>23</xdr:row>
      <xdr:rowOff>152400</xdr:rowOff>
    </xdr:to>
    <xdr:sp macro="" textlink="">
      <xdr:nvSpPr>
        <xdr:cNvPr id="8" name="Rectángulo: esquinas redondeadas 7">
          <a:extLst>
            <a:ext uri="{FF2B5EF4-FFF2-40B4-BE49-F238E27FC236}">
              <a16:creationId xmlns:a16="http://schemas.microsoft.com/office/drawing/2014/main" id="{213CA01D-D546-495D-BD35-246450A26751}"/>
            </a:ext>
          </a:extLst>
        </xdr:cNvPr>
        <xdr:cNvSpPr/>
      </xdr:nvSpPr>
      <xdr:spPr>
        <a:xfrm>
          <a:off x="13830300" y="3680460"/>
          <a:ext cx="1577340" cy="701040"/>
        </a:xfrm>
        <a:prstGeom prst="roundRec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t>LH2 Trailer</a:t>
          </a:r>
        </a:p>
        <a:p>
          <a:pPr algn="ctr"/>
          <a:r>
            <a:rPr lang="es-CL" sz="1100"/>
            <a:t>+</a:t>
          </a:r>
        </a:p>
        <a:p>
          <a:pPr algn="ctr"/>
          <a:r>
            <a:rPr lang="es-CL" sz="1100"/>
            <a:t>LH2 Pump</a:t>
          </a:r>
        </a:p>
      </xdr:txBody>
    </xdr:sp>
    <xdr:clientData/>
  </xdr:twoCellAnchor>
  <xdr:twoCellAnchor>
    <xdr:from>
      <xdr:col>2</xdr:col>
      <xdr:colOff>0</xdr:colOff>
      <xdr:row>10</xdr:row>
      <xdr:rowOff>76200</xdr:rowOff>
    </xdr:from>
    <xdr:to>
      <xdr:col>3</xdr:col>
      <xdr:colOff>784860</xdr:colOff>
      <xdr:row>13</xdr:row>
      <xdr:rowOff>30480</xdr:rowOff>
    </xdr:to>
    <xdr:sp macro="" textlink="">
      <xdr:nvSpPr>
        <xdr:cNvPr id="10" name="Rectángulo: esquinas redondeadas 9">
          <a:extLst>
            <a:ext uri="{FF2B5EF4-FFF2-40B4-BE49-F238E27FC236}">
              <a16:creationId xmlns:a16="http://schemas.microsoft.com/office/drawing/2014/main" id="{B89D5A3A-3302-455F-9873-BDB1B24EDFC8}"/>
            </a:ext>
          </a:extLst>
        </xdr:cNvPr>
        <xdr:cNvSpPr/>
      </xdr:nvSpPr>
      <xdr:spPr>
        <a:xfrm>
          <a:off x="2171700" y="1927860"/>
          <a:ext cx="1577340" cy="502920"/>
        </a:xfrm>
        <a:prstGeom prst="round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t>Large Compressor</a:t>
          </a:r>
        </a:p>
        <a:p>
          <a:pPr algn="ctr"/>
          <a:r>
            <a:rPr lang="es-CL" sz="1100"/>
            <a:t>(Max</a:t>
          </a:r>
          <a:r>
            <a:rPr lang="es-CL" sz="1100" baseline="0"/>
            <a:t> 200 bar</a:t>
          </a:r>
          <a:r>
            <a:rPr lang="es-CL" sz="1100"/>
            <a:t>)</a:t>
          </a:r>
        </a:p>
      </xdr:txBody>
    </xdr:sp>
    <xdr:clientData/>
  </xdr:twoCellAnchor>
  <xdr:twoCellAnchor>
    <xdr:from>
      <xdr:col>2</xdr:col>
      <xdr:colOff>22860</xdr:colOff>
      <xdr:row>29</xdr:row>
      <xdr:rowOff>53340</xdr:rowOff>
    </xdr:from>
    <xdr:to>
      <xdr:col>4</xdr:col>
      <xdr:colOff>0</xdr:colOff>
      <xdr:row>32</xdr:row>
      <xdr:rowOff>38100</xdr:rowOff>
    </xdr:to>
    <xdr:sp macro="" textlink="">
      <xdr:nvSpPr>
        <xdr:cNvPr id="11" name="Rectángulo: esquinas redondeadas 10">
          <a:extLst>
            <a:ext uri="{FF2B5EF4-FFF2-40B4-BE49-F238E27FC236}">
              <a16:creationId xmlns:a16="http://schemas.microsoft.com/office/drawing/2014/main" id="{1472C17C-DC39-4BC1-9CD9-9452E6366B30}"/>
            </a:ext>
          </a:extLst>
        </xdr:cNvPr>
        <xdr:cNvSpPr/>
      </xdr:nvSpPr>
      <xdr:spPr>
        <a:xfrm>
          <a:off x="2194560" y="5379720"/>
          <a:ext cx="1562100" cy="533400"/>
        </a:xfrm>
        <a:prstGeom prst="round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t>Liquefaction</a:t>
          </a:r>
          <a:r>
            <a:rPr lang="es-CL" sz="1100" baseline="0"/>
            <a:t> Plant</a:t>
          </a:r>
          <a:endParaRPr lang="es-CL" sz="1100"/>
        </a:p>
      </xdr:txBody>
    </xdr:sp>
    <xdr:clientData/>
  </xdr:twoCellAnchor>
  <xdr:twoCellAnchor>
    <xdr:from>
      <xdr:col>23</xdr:col>
      <xdr:colOff>15240</xdr:colOff>
      <xdr:row>7</xdr:row>
      <xdr:rowOff>129540</xdr:rowOff>
    </xdr:from>
    <xdr:to>
      <xdr:col>24</xdr:col>
      <xdr:colOff>784860</xdr:colOff>
      <xdr:row>10</xdr:row>
      <xdr:rowOff>76200</xdr:rowOff>
    </xdr:to>
    <xdr:sp macro="" textlink="">
      <xdr:nvSpPr>
        <xdr:cNvPr id="12" name="Rectángulo: esquinas redondeadas 11">
          <a:extLst>
            <a:ext uri="{FF2B5EF4-FFF2-40B4-BE49-F238E27FC236}">
              <a16:creationId xmlns:a16="http://schemas.microsoft.com/office/drawing/2014/main" id="{58369474-BE22-4919-A661-D414AEAC63E7}"/>
            </a:ext>
          </a:extLst>
        </xdr:cNvPr>
        <xdr:cNvSpPr/>
      </xdr:nvSpPr>
      <xdr:spPr>
        <a:xfrm>
          <a:off x="18829020" y="1424940"/>
          <a:ext cx="1562100" cy="502920"/>
        </a:xfrm>
        <a:prstGeom prst="roundRect">
          <a:avLst/>
        </a:prstGeom>
        <a:solidFill>
          <a:schemeClr val="tx1">
            <a:lumMod val="85000"/>
            <a:lumOff val="1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t>GH2-200 bar</a:t>
          </a:r>
        </a:p>
        <a:p>
          <a:pPr algn="ctr"/>
          <a:r>
            <a:rPr lang="es-CL" sz="1100"/>
            <a:t>Demand</a:t>
          </a:r>
        </a:p>
      </xdr:txBody>
    </xdr:sp>
    <xdr:clientData/>
  </xdr:twoCellAnchor>
  <xdr:twoCellAnchor>
    <xdr:from>
      <xdr:col>23</xdr:col>
      <xdr:colOff>0</xdr:colOff>
      <xdr:row>11</xdr:row>
      <xdr:rowOff>114300</xdr:rowOff>
    </xdr:from>
    <xdr:to>
      <xdr:col>24</xdr:col>
      <xdr:colOff>746760</xdr:colOff>
      <xdr:row>14</xdr:row>
      <xdr:rowOff>53340</xdr:rowOff>
    </xdr:to>
    <xdr:sp macro="" textlink="">
      <xdr:nvSpPr>
        <xdr:cNvPr id="13" name="Rectángulo: esquinas redondeadas 12">
          <a:extLst>
            <a:ext uri="{FF2B5EF4-FFF2-40B4-BE49-F238E27FC236}">
              <a16:creationId xmlns:a16="http://schemas.microsoft.com/office/drawing/2014/main" id="{3A8F1E9F-8CE8-4F25-9511-9E0B7C65DFD9}"/>
            </a:ext>
          </a:extLst>
        </xdr:cNvPr>
        <xdr:cNvSpPr/>
      </xdr:nvSpPr>
      <xdr:spPr>
        <a:xfrm>
          <a:off x="18813780" y="2148840"/>
          <a:ext cx="1539240" cy="487680"/>
        </a:xfrm>
        <a:prstGeom prst="roundRect">
          <a:avLst/>
        </a:prstGeom>
        <a:solidFill>
          <a:schemeClr val="tx1">
            <a:lumMod val="85000"/>
            <a:lumOff val="1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t>GH2-350 bar</a:t>
          </a:r>
        </a:p>
        <a:p>
          <a:pPr algn="ctr"/>
          <a:r>
            <a:rPr lang="es-CL" sz="1100"/>
            <a:t>Demand</a:t>
          </a:r>
        </a:p>
      </xdr:txBody>
    </xdr:sp>
    <xdr:clientData/>
  </xdr:twoCellAnchor>
  <xdr:twoCellAnchor>
    <xdr:from>
      <xdr:col>23</xdr:col>
      <xdr:colOff>0</xdr:colOff>
      <xdr:row>16</xdr:row>
      <xdr:rowOff>68580</xdr:rowOff>
    </xdr:from>
    <xdr:to>
      <xdr:col>24</xdr:col>
      <xdr:colOff>777240</xdr:colOff>
      <xdr:row>19</xdr:row>
      <xdr:rowOff>7620</xdr:rowOff>
    </xdr:to>
    <xdr:sp macro="" textlink="">
      <xdr:nvSpPr>
        <xdr:cNvPr id="14" name="Rectángulo: esquinas redondeadas 13">
          <a:extLst>
            <a:ext uri="{FF2B5EF4-FFF2-40B4-BE49-F238E27FC236}">
              <a16:creationId xmlns:a16="http://schemas.microsoft.com/office/drawing/2014/main" id="{6B1D7AB1-37DF-4CBE-A09E-136DF0714A83}"/>
            </a:ext>
          </a:extLst>
        </xdr:cNvPr>
        <xdr:cNvSpPr/>
      </xdr:nvSpPr>
      <xdr:spPr>
        <a:xfrm>
          <a:off x="18813780" y="3017520"/>
          <a:ext cx="1569720" cy="487680"/>
        </a:xfrm>
        <a:prstGeom prst="roundRect">
          <a:avLst/>
        </a:prstGeom>
        <a:solidFill>
          <a:schemeClr val="tx1">
            <a:lumMod val="85000"/>
            <a:lumOff val="1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t>GH2-700 bar</a:t>
          </a:r>
        </a:p>
        <a:p>
          <a:pPr algn="ctr"/>
          <a:r>
            <a:rPr lang="es-CL" sz="1100"/>
            <a:t>Demand</a:t>
          </a:r>
        </a:p>
      </xdr:txBody>
    </xdr:sp>
    <xdr:clientData/>
  </xdr:twoCellAnchor>
  <xdr:twoCellAnchor>
    <xdr:from>
      <xdr:col>23</xdr:col>
      <xdr:colOff>30480</xdr:colOff>
      <xdr:row>20</xdr:row>
      <xdr:rowOff>99060</xdr:rowOff>
    </xdr:from>
    <xdr:to>
      <xdr:col>25</xdr:col>
      <xdr:colOff>30480</xdr:colOff>
      <xdr:row>23</xdr:row>
      <xdr:rowOff>83820</xdr:rowOff>
    </xdr:to>
    <xdr:sp macro="" textlink="">
      <xdr:nvSpPr>
        <xdr:cNvPr id="15" name="Rectángulo: esquinas redondeadas 14">
          <a:extLst>
            <a:ext uri="{FF2B5EF4-FFF2-40B4-BE49-F238E27FC236}">
              <a16:creationId xmlns:a16="http://schemas.microsoft.com/office/drawing/2014/main" id="{4AC2C89C-91DC-4BA1-B990-BA41547D6BE4}"/>
            </a:ext>
          </a:extLst>
        </xdr:cNvPr>
        <xdr:cNvSpPr/>
      </xdr:nvSpPr>
      <xdr:spPr>
        <a:xfrm>
          <a:off x="18844260" y="3779520"/>
          <a:ext cx="1584960" cy="533400"/>
        </a:xfrm>
        <a:prstGeom prst="roundRect">
          <a:avLst/>
        </a:prstGeom>
        <a:solidFill>
          <a:schemeClr val="tx1">
            <a:lumMod val="85000"/>
            <a:lumOff val="1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t>LH2</a:t>
          </a:r>
        </a:p>
        <a:p>
          <a:pPr algn="ctr"/>
          <a:r>
            <a:rPr lang="es-CL" sz="1100"/>
            <a:t>Demand</a:t>
          </a:r>
        </a:p>
      </xdr:txBody>
    </xdr:sp>
    <xdr:clientData/>
  </xdr:twoCellAnchor>
  <xdr:twoCellAnchor>
    <xdr:from>
      <xdr:col>7</xdr:col>
      <xdr:colOff>784860</xdr:colOff>
      <xdr:row>10</xdr:row>
      <xdr:rowOff>60960</xdr:rowOff>
    </xdr:from>
    <xdr:to>
      <xdr:col>9</xdr:col>
      <xdr:colOff>777240</xdr:colOff>
      <xdr:row>13</xdr:row>
      <xdr:rowOff>15240</xdr:rowOff>
    </xdr:to>
    <xdr:sp macro="" textlink="">
      <xdr:nvSpPr>
        <xdr:cNvPr id="16" name="Rectángulo: esquinas redondeadas 15">
          <a:extLst>
            <a:ext uri="{FF2B5EF4-FFF2-40B4-BE49-F238E27FC236}">
              <a16:creationId xmlns:a16="http://schemas.microsoft.com/office/drawing/2014/main" id="{675DAAB1-82B7-46C5-88B4-A5BD707C8DEF}"/>
            </a:ext>
          </a:extLst>
        </xdr:cNvPr>
        <xdr:cNvSpPr/>
      </xdr:nvSpPr>
      <xdr:spPr>
        <a:xfrm>
          <a:off x="6918960" y="1912620"/>
          <a:ext cx="1577340" cy="502920"/>
        </a:xfrm>
        <a:prstGeom prst="roundRect">
          <a:avLst/>
        </a:prstGeom>
        <a:gradFill>
          <a:gsLst>
            <a:gs pos="0">
              <a:srgbClr val="C00000"/>
            </a:gs>
            <a:gs pos="100000">
              <a:schemeClr val="accent6"/>
            </a:gs>
          </a:gsLst>
          <a:lin ang="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t>Turboexpander</a:t>
          </a:r>
        </a:p>
        <a:p>
          <a:pPr algn="ctr"/>
          <a:r>
            <a:rPr lang="es-CL" sz="1100"/>
            <a:t>(70 bar)</a:t>
          </a:r>
        </a:p>
      </xdr:txBody>
    </xdr:sp>
    <xdr:clientData/>
  </xdr:twoCellAnchor>
  <xdr:twoCellAnchor>
    <xdr:from>
      <xdr:col>16</xdr:col>
      <xdr:colOff>533400</xdr:colOff>
      <xdr:row>1</xdr:row>
      <xdr:rowOff>83820</xdr:rowOff>
    </xdr:from>
    <xdr:to>
      <xdr:col>18</xdr:col>
      <xdr:colOff>525780</xdr:colOff>
      <xdr:row>6</xdr:row>
      <xdr:rowOff>53340</xdr:rowOff>
    </xdr:to>
    <xdr:sp macro="" textlink="">
      <xdr:nvSpPr>
        <xdr:cNvPr id="17" name="Rectángulo: esquinas redondeadas 16">
          <a:extLst>
            <a:ext uri="{FF2B5EF4-FFF2-40B4-BE49-F238E27FC236}">
              <a16:creationId xmlns:a16="http://schemas.microsoft.com/office/drawing/2014/main" id="{39097BEC-6CCB-4A28-BD87-F8BB91F6080A}"/>
            </a:ext>
          </a:extLst>
        </xdr:cNvPr>
        <xdr:cNvSpPr/>
      </xdr:nvSpPr>
      <xdr:spPr>
        <a:xfrm>
          <a:off x="13799820" y="266700"/>
          <a:ext cx="1577340" cy="899160"/>
        </a:xfrm>
        <a:prstGeom prst="round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t>PEM</a:t>
          </a:r>
          <a:r>
            <a:rPr lang="es-CL" sz="1100" baseline="0"/>
            <a:t> Fuel Cell</a:t>
          </a:r>
        </a:p>
        <a:p>
          <a:pPr algn="ctr"/>
          <a:r>
            <a:rPr lang="es-CL" sz="1100" baseline="0"/>
            <a:t>H2 Turbine</a:t>
          </a:r>
        </a:p>
        <a:p>
          <a:pPr algn="ctr"/>
          <a:r>
            <a:rPr lang="es-CL" sz="1100" baseline="0"/>
            <a:t>H2 PEM CHP</a:t>
          </a:r>
          <a:endParaRPr lang="es-CL" sz="1100"/>
        </a:p>
      </xdr:txBody>
    </xdr:sp>
    <xdr:clientData/>
  </xdr:twoCellAnchor>
  <xdr:twoCellAnchor>
    <xdr:from>
      <xdr:col>11</xdr:col>
      <xdr:colOff>22860</xdr:colOff>
      <xdr:row>31</xdr:row>
      <xdr:rowOff>167640</xdr:rowOff>
    </xdr:from>
    <xdr:to>
      <xdr:col>13</xdr:col>
      <xdr:colOff>30480</xdr:colOff>
      <xdr:row>34</xdr:row>
      <xdr:rowOff>121920</xdr:rowOff>
    </xdr:to>
    <xdr:sp macro="" textlink="">
      <xdr:nvSpPr>
        <xdr:cNvPr id="18" name="Rectángulo: esquinas redondeadas 17">
          <a:extLst>
            <a:ext uri="{FF2B5EF4-FFF2-40B4-BE49-F238E27FC236}">
              <a16:creationId xmlns:a16="http://schemas.microsoft.com/office/drawing/2014/main" id="{836E26C1-D9B2-4837-9D6E-951450AD1897}"/>
            </a:ext>
          </a:extLst>
        </xdr:cNvPr>
        <xdr:cNvSpPr/>
      </xdr:nvSpPr>
      <xdr:spPr>
        <a:xfrm>
          <a:off x="9326880" y="5859780"/>
          <a:ext cx="1592580" cy="502920"/>
        </a:xfrm>
        <a:prstGeom prst="round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t>LH2 Regasification</a:t>
          </a:r>
        </a:p>
        <a:p>
          <a:pPr algn="ctr"/>
          <a:r>
            <a:rPr lang="es-CL" sz="1100"/>
            <a:t>(Atm)</a:t>
          </a:r>
        </a:p>
      </xdr:txBody>
    </xdr:sp>
    <xdr:clientData/>
  </xdr:twoCellAnchor>
  <xdr:twoCellAnchor>
    <xdr:from>
      <xdr:col>23</xdr:col>
      <xdr:colOff>7620</xdr:colOff>
      <xdr:row>25</xdr:row>
      <xdr:rowOff>144780</xdr:rowOff>
    </xdr:from>
    <xdr:to>
      <xdr:col>24</xdr:col>
      <xdr:colOff>784860</xdr:colOff>
      <xdr:row>28</xdr:row>
      <xdr:rowOff>83820</xdr:rowOff>
    </xdr:to>
    <xdr:sp macro="" textlink="">
      <xdr:nvSpPr>
        <xdr:cNvPr id="19" name="Rectángulo: esquinas redondeadas 18">
          <a:extLst>
            <a:ext uri="{FF2B5EF4-FFF2-40B4-BE49-F238E27FC236}">
              <a16:creationId xmlns:a16="http://schemas.microsoft.com/office/drawing/2014/main" id="{5EE643C0-9B3D-4E60-BAC5-47534A951858}"/>
            </a:ext>
          </a:extLst>
        </xdr:cNvPr>
        <xdr:cNvSpPr/>
      </xdr:nvSpPr>
      <xdr:spPr>
        <a:xfrm>
          <a:off x="18821400" y="4739640"/>
          <a:ext cx="1569720" cy="487680"/>
        </a:xfrm>
        <a:prstGeom prst="roundRect">
          <a:avLst/>
        </a:prstGeom>
        <a:solidFill>
          <a:schemeClr val="tx1">
            <a:lumMod val="85000"/>
            <a:lumOff val="1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t>NH3</a:t>
          </a:r>
        </a:p>
        <a:p>
          <a:pPr algn="ctr"/>
          <a:r>
            <a:rPr lang="es-CL" sz="1100"/>
            <a:t>Demand</a:t>
          </a:r>
        </a:p>
      </xdr:txBody>
    </xdr:sp>
    <xdr:clientData/>
  </xdr:twoCellAnchor>
  <xdr:twoCellAnchor>
    <xdr:from>
      <xdr:col>8</xdr:col>
      <xdr:colOff>0</xdr:colOff>
      <xdr:row>2</xdr:row>
      <xdr:rowOff>30480</xdr:rowOff>
    </xdr:from>
    <xdr:to>
      <xdr:col>9</xdr:col>
      <xdr:colOff>769620</xdr:colOff>
      <xdr:row>4</xdr:row>
      <xdr:rowOff>182880</xdr:rowOff>
    </xdr:to>
    <xdr:sp macro="" textlink="">
      <xdr:nvSpPr>
        <xdr:cNvPr id="20" name="Rectángulo: esquinas redondeadas 19">
          <a:extLst>
            <a:ext uri="{FF2B5EF4-FFF2-40B4-BE49-F238E27FC236}">
              <a16:creationId xmlns:a16="http://schemas.microsoft.com/office/drawing/2014/main" id="{EA5972CC-EFC5-42AA-8208-30E1151BA4B9}"/>
            </a:ext>
          </a:extLst>
        </xdr:cNvPr>
        <xdr:cNvSpPr/>
      </xdr:nvSpPr>
      <xdr:spPr>
        <a:xfrm>
          <a:off x="6926580" y="396240"/>
          <a:ext cx="1562100" cy="5181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t>NH3 Storage</a:t>
          </a:r>
        </a:p>
      </xdr:txBody>
    </xdr:sp>
    <xdr:clientData/>
  </xdr:twoCellAnchor>
  <xdr:twoCellAnchor>
    <xdr:from>
      <xdr:col>5</xdr:col>
      <xdr:colOff>22860</xdr:colOff>
      <xdr:row>2</xdr:row>
      <xdr:rowOff>7620</xdr:rowOff>
    </xdr:from>
    <xdr:to>
      <xdr:col>7</xdr:col>
      <xdr:colOff>22860</xdr:colOff>
      <xdr:row>4</xdr:row>
      <xdr:rowOff>144780</xdr:rowOff>
    </xdr:to>
    <xdr:sp macro="" textlink="">
      <xdr:nvSpPr>
        <xdr:cNvPr id="21" name="Rectángulo: esquinas redondeadas 20">
          <a:extLst>
            <a:ext uri="{FF2B5EF4-FFF2-40B4-BE49-F238E27FC236}">
              <a16:creationId xmlns:a16="http://schemas.microsoft.com/office/drawing/2014/main" id="{60E12805-607A-431B-B52F-7360217F683A}"/>
            </a:ext>
          </a:extLst>
        </xdr:cNvPr>
        <xdr:cNvSpPr/>
      </xdr:nvSpPr>
      <xdr:spPr>
        <a:xfrm>
          <a:off x="4572000" y="373380"/>
          <a:ext cx="1584960" cy="502920"/>
        </a:xfrm>
        <a:prstGeom prst="roundRect">
          <a:avLst/>
        </a:prstGeom>
        <a:gradFill flip="none" rotWithShape="1">
          <a:gsLst>
            <a:gs pos="0">
              <a:schemeClr val="accent5"/>
            </a:gs>
            <a:gs pos="100000">
              <a:schemeClr val="accent6"/>
            </a:gs>
          </a:gsLst>
          <a:lin ang="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t>NH3 Haber-Bosch</a:t>
          </a:r>
        </a:p>
      </xdr:txBody>
    </xdr:sp>
    <xdr:clientData/>
  </xdr:twoCellAnchor>
  <xdr:twoCellAnchor>
    <xdr:from>
      <xdr:col>11</xdr:col>
      <xdr:colOff>15240</xdr:colOff>
      <xdr:row>2</xdr:row>
      <xdr:rowOff>38100</xdr:rowOff>
    </xdr:from>
    <xdr:to>
      <xdr:col>12</xdr:col>
      <xdr:colOff>769620</xdr:colOff>
      <xdr:row>4</xdr:row>
      <xdr:rowOff>160020</xdr:rowOff>
    </xdr:to>
    <xdr:sp macro="" textlink="">
      <xdr:nvSpPr>
        <xdr:cNvPr id="22" name="Rectángulo: esquinas redondeadas 21">
          <a:extLst>
            <a:ext uri="{FF2B5EF4-FFF2-40B4-BE49-F238E27FC236}">
              <a16:creationId xmlns:a16="http://schemas.microsoft.com/office/drawing/2014/main" id="{1B7D4635-6706-4DBD-8DA0-AE9EF31B5926}"/>
            </a:ext>
          </a:extLst>
        </xdr:cNvPr>
        <xdr:cNvSpPr/>
      </xdr:nvSpPr>
      <xdr:spPr>
        <a:xfrm>
          <a:off x="9319260" y="403860"/>
          <a:ext cx="1546860" cy="487680"/>
        </a:xfrm>
        <a:prstGeom prst="round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t>NH3 Cracker</a:t>
          </a:r>
        </a:p>
        <a:p>
          <a:pPr algn="ctr"/>
          <a:r>
            <a:rPr lang="es-CL" sz="1100"/>
            <a:t>(Atm)</a:t>
          </a:r>
        </a:p>
      </xdr:txBody>
    </xdr:sp>
    <xdr:clientData/>
  </xdr:twoCellAnchor>
  <xdr:twoCellAnchor>
    <xdr:from>
      <xdr:col>16</xdr:col>
      <xdr:colOff>548640</xdr:colOff>
      <xdr:row>25</xdr:row>
      <xdr:rowOff>129540</xdr:rowOff>
    </xdr:from>
    <xdr:to>
      <xdr:col>18</xdr:col>
      <xdr:colOff>533400</xdr:colOff>
      <xdr:row>28</xdr:row>
      <xdr:rowOff>38100</xdr:rowOff>
    </xdr:to>
    <xdr:sp macro="" textlink="">
      <xdr:nvSpPr>
        <xdr:cNvPr id="23" name="Rectángulo: esquinas redondeadas 22">
          <a:extLst>
            <a:ext uri="{FF2B5EF4-FFF2-40B4-BE49-F238E27FC236}">
              <a16:creationId xmlns:a16="http://schemas.microsoft.com/office/drawing/2014/main" id="{8DBB2828-9835-4C96-9AC0-8782B59EA9E6}"/>
            </a:ext>
          </a:extLst>
        </xdr:cNvPr>
        <xdr:cNvSpPr/>
      </xdr:nvSpPr>
      <xdr:spPr>
        <a:xfrm>
          <a:off x="13815060" y="4724400"/>
          <a:ext cx="1569720" cy="457200"/>
        </a:xfrm>
        <a:prstGeom prst="roundRec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t>NH3</a:t>
          </a:r>
          <a:r>
            <a:rPr lang="es-CL" sz="1100" baseline="0"/>
            <a:t> Trailer</a:t>
          </a:r>
          <a:endParaRPr lang="es-CL" sz="1100"/>
        </a:p>
        <a:p>
          <a:pPr algn="ctr"/>
          <a:r>
            <a:rPr lang="es-CL" sz="1100"/>
            <a:t>(Atm)</a:t>
          </a:r>
        </a:p>
      </xdr:txBody>
    </xdr:sp>
    <xdr:clientData/>
  </xdr:twoCellAnchor>
  <xdr:twoCellAnchor>
    <xdr:from>
      <xdr:col>0</xdr:col>
      <xdr:colOff>106680</xdr:colOff>
      <xdr:row>6</xdr:row>
      <xdr:rowOff>106680</xdr:rowOff>
    </xdr:from>
    <xdr:to>
      <xdr:col>0</xdr:col>
      <xdr:colOff>646680</xdr:colOff>
      <xdr:row>6</xdr:row>
      <xdr:rowOff>106680</xdr:rowOff>
    </xdr:to>
    <xdr:cxnSp macro="">
      <xdr:nvCxnSpPr>
        <xdr:cNvPr id="24" name="Conector recto de flecha 23">
          <a:extLst>
            <a:ext uri="{FF2B5EF4-FFF2-40B4-BE49-F238E27FC236}">
              <a16:creationId xmlns:a16="http://schemas.microsoft.com/office/drawing/2014/main" id="{02677534-136B-46B4-B727-6D09A389A8E0}"/>
            </a:ext>
          </a:extLst>
        </xdr:cNvPr>
        <xdr:cNvCxnSpPr/>
      </xdr:nvCxnSpPr>
      <xdr:spPr>
        <a:xfrm>
          <a:off x="106680" y="1211580"/>
          <a:ext cx="540000" cy="0"/>
        </a:xfrm>
        <a:prstGeom prst="straightConnector1">
          <a:avLst/>
        </a:prstGeom>
        <a:ln>
          <a:solidFill>
            <a:srgbClr val="00B05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106680</xdr:colOff>
      <xdr:row>7</xdr:row>
      <xdr:rowOff>99060</xdr:rowOff>
    </xdr:from>
    <xdr:to>
      <xdr:col>0</xdr:col>
      <xdr:colOff>646680</xdr:colOff>
      <xdr:row>7</xdr:row>
      <xdr:rowOff>99060</xdr:rowOff>
    </xdr:to>
    <xdr:cxnSp macro="">
      <xdr:nvCxnSpPr>
        <xdr:cNvPr id="25" name="Conector recto de flecha 24">
          <a:extLst>
            <a:ext uri="{FF2B5EF4-FFF2-40B4-BE49-F238E27FC236}">
              <a16:creationId xmlns:a16="http://schemas.microsoft.com/office/drawing/2014/main" id="{74CDD4AF-B075-480E-AF9F-FCDE89AF7091}"/>
            </a:ext>
          </a:extLst>
        </xdr:cNvPr>
        <xdr:cNvCxnSpPr/>
      </xdr:nvCxnSpPr>
      <xdr:spPr>
        <a:xfrm>
          <a:off x="106680" y="1386840"/>
          <a:ext cx="540000" cy="0"/>
        </a:xfrm>
        <a:prstGeom prst="straightConnector1">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106680</xdr:colOff>
      <xdr:row>8</xdr:row>
      <xdr:rowOff>106680</xdr:rowOff>
    </xdr:from>
    <xdr:to>
      <xdr:col>0</xdr:col>
      <xdr:colOff>646680</xdr:colOff>
      <xdr:row>8</xdr:row>
      <xdr:rowOff>106680</xdr:rowOff>
    </xdr:to>
    <xdr:cxnSp macro="">
      <xdr:nvCxnSpPr>
        <xdr:cNvPr id="26" name="Conector recto de flecha 25">
          <a:extLst>
            <a:ext uri="{FF2B5EF4-FFF2-40B4-BE49-F238E27FC236}">
              <a16:creationId xmlns:a16="http://schemas.microsoft.com/office/drawing/2014/main" id="{1AD94471-223C-4B93-9395-1BF7EE64F2CF}"/>
            </a:ext>
          </a:extLst>
        </xdr:cNvPr>
        <xdr:cNvCxnSpPr/>
      </xdr:nvCxnSpPr>
      <xdr:spPr>
        <a:xfrm>
          <a:off x="106680" y="1577340"/>
          <a:ext cx="540000" cy="0"/>
        </a:xfrm>
        <a:prstGeom prst="straightConnector1">
          <a:avLst/>
        </a:prstGeom>
        <a:ln>
          <a:solidFill>
            <a:srgbClr val="7030A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784860</xdr:colOff>
      <xdr:row>11</xdr:row>
      <xdr:rowOff>133350</xdr:rowOff>
    </xdr:from>
    <xdr:to>
      <xdr:col>5</xdr:col>
      <xdr:colOff>15240</xdr:colOff>
      <xdr:row>11</xdr:row>
      <xdr:rowOff>144780</xdr:rowOff>
    </xdr:to>
    <xdr:cxnSp macro="">
      <xdr:nvCxnSpPr>
        <xdr:cNvPr id="41" name="Conector recto de flecha 40">
          <a:extLst>
            <a:ext uri="{FF2B5EF4-FFF2-40B4-BE49-F238E27FC236}">
              <a16:creationId xmlns:a16="http://schemas.microsoft.com/office/drawing/2014/main" id="{4DD1CB34-3D84-4B90-9C8E-6260D000F1C7}"/>
            </a:ext>
          </a:extLst>
        </xdr:cNvPr>
        <xdr:cNvCxnSpPr>
          <a:stCxn id="10" idx="3"/>
          <a:endCxn id="4" idx="1"/>
        </xdr:cNvCxnSpPr>
      </xdr:nvCxnSpPr>
      <xdr:spPr>
        <a:xfrm flipV="1">
          <a:off x="3749040" y="2167890"/>
          <a:ext cx="815340" cy="11430"/>
        </a:xfrm>
        <a:prstGeom prst="straightConnector1">
          <a:avLst/>
        </a:prstGeom>
        <a:ln>
          <a:solidFill>
            <a:srgbClr val="00B05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0</xdr:colOff>
      <xdr:row>30</xdr:row>
      <xdr:rowOff>125730</xdr:rowOff>
    </xdr:from>
    <xdr:to>
      <xdr:col>6</xdr:col>
      <xdr:colOff>769620</xdr:colOff>
      <xdr:row>30</xdr:row>
      <xdr:rowOff>137160</xdr:rowOff>
    </xdr:to>
    <xdr:cxnSp macro="">
      <xdr:nvCxnSpPr>
        <xdr:cNvPr id="45" name="Conector recto de flecha 44">
          <a:extLst>
            <a:ext uri="{FF2B5EF4-FFF2-40B4-BE49-F238E27FC236}">
              <a16:creationId xmlns:a16="http://schemas.microsoft.com/office/drawing/2014/main" id="{A2A648C1-DE2E-421C-90AB-4DCB2D92848B}"/>
            </a:ext>
          </a:extLst>
        </xdr:cNvPr>
        <xdr:cNvCxnSpPr>
          <a:stCxn id="11" idx="3"/>
          <a:endCxn id="3" idx="1"/>
        </xdr:cNvCxnSpPr>
      </xdr:nvCxnSpPr>
      <xdr:spPr>
        <a:xfrm flipV="1">
          <a:off x="3756660" y="5634990"/>
          <a:ext cx="2354580" cy="11430"/>
        </a:xfrm>
        <a:prstGeom prst="straightConnector1">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11</xdr:col>
      <xdr:colOff>15240</xdr:colOff>
      <xdr:row>26</xdr:row>
      <xdr:rowOff>60960</xdr:rowOff>
    </xdr:from>
    <xdr:to>
      <xdr:col>13</xdr:col>
      <xdr:colOff>38100</xdr:colOff>
      <xdr:row>29</xdr:row>
      <xdr:rowOff>53340</xdr:rowOff>
    </xdr:to>
    <xdr:sp macro="" textlink="">
      <xdr:nvSpPr>
        <xdr:cNvPr id="52" name="Rectángulo: esquinas redondeadas 51">
          <a:extLst>
            <a:ext uri="{FF2B5EF4-FFF2-40B4-BE49-F238E27FC236}">
              <a16:creationId xmlns:a16="http://schemas.microsoft.com/office/drawing/2014/main" id="{4BFAB46B-B75F-4C81-89C8-9375E89443E6}"/>
            </a:ext>
          </a:extLst>
        </xdr:cNvPr>
        <xdr:cNvSpPr/>
      </xdr:nvSpPr>
      <xdr:spPr>
        <a:xfrm>
          <a:off x="9319260" y="4838700"/>
          <a:ext cx="1607820" cy="541020"/>
        </a:xfrm>
        <a:prstGeom prst="round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t>Medium Compressor</a:t>
          </a:r>
        </a:p>
        <a:p>
          <a:pPr algn="ctr"/>
          <a:r>
            <a:rPr lang="es-CL" sz="1100"/>
            <a:t>(Max</a:t>
          </a:r>
          <a:r>
            <a:rPr lang="es-CL" sz="1100" baseline="0"/>
            <a:t> 700 bar</a:t>
          </a:r>
          <a:r>
            <a:rPr lang="es-CL" sz="1100"/>
            <a:t>)</a:t>
          </a:r>
        </a:p>
      </xdr:txBody>
    </xdr:sp>
    <xdr:clientData/>
  </xdr:twoCellAnchor>
  <xdr:twoCellAnchor>
    <xdr:from>
      <xdr:col>15</xdr:col>
      <xdr:colOff>7620</xdr:colOff>
      <xdr:row>16</xdr:row>
      <xdr:rowOff>80010</xdr:rowOff>
    </xdr:from>
    <xdr:to>
      <xdr:col>16</xdr:col>
      <xdr:colOff>548640</xdr:colOff>
      <xdr:row>16</xdr:row>
      <xdr:rowOff>91440</xdr:rowOff>
    </xdr:to>
    <xdr:cxnSp macro="">
      <xdr:nvCxnSpPr>
        <xdr:cNvPr id="69" name="Conector recto de flecha 68">
          <a:extLst>
            <a:ext uri="{FF2B5EF4-FFF2-40B4-BE49-F238E27FC236}">
              <a16:creationId xmlns:a16="http://schemas.microsoft.com/office/drawing/2014/main" id="{D592720E-899C-4114-9E35-1D31A100724E}"/>
            </a:ext>
          </a:extLst>
        </xdr:cNvPr>
        <xdr:cNvCxnSpPr>
          <a:stCxn id="6" idx="3"/>
          <a:endCxn id="7" idx="1"/>
        </xdr:cNvCxnSpPr>
      </xdr:nvCxnSpPr>
      <xdr:spPr>
        <a:xfrm flipV="1">
          <a:off x="12481560" y="3028950"/>
          <a:ext cx="1333500" cy="11430"/>
        </a:xfrm>
        <a:prstGeom prst="straightConnector1">
          <a:avLst/>
        </a:prstGeom>
        <a:ln>
          <a:solidFill>
            <a:srgbClr val="00B05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15</xdr:col>
      <xdr:colOff>7620</xdr:colOff>
      <xdr:row>16</xdr:row>
      <xdr:rowOff>91440</xdr:rowOff>
    </xdr:from>
    <xdr:to>
      <xdr:col>16</xdr:col>
      <xdr:colOff>563880</xdr:colOff>
      <xdr:row>21</xdr:row>
      <xdr:rowOff>167640</xdr:rowOff>
    </xdr:to>
    <xdr:cxnSp macro="">
      <xdr:nvCxnSpPr>
        <xdr:cNvPr id="76" name="Conector recto de flecha 75">
          <a:extLst>
            <a:ext uri="{FF2B5EF4-FFF2-40B4-BE49-F238E27FC236}">
              <a16:creationId xmlns:a16="http://schemas.microsoft.com/office/drawing/2014/main" id="{B4CE035C-AE2A-473C-B111-E4360E7997FF}"/>
            </a:ext>
          </a:extLst>
        </xdr:cNvPr>
        <xdr:cNvCxnSpPr>
          <a:stCxn id="6" idx="3"/>
          <a:endCxn id="8" idx="1"/>
        </xdr:cNvCxnSpPr>
      </xdr:nvCxnSpPr>
      <xdr:spPr>
        <a:xfrm>
          <a:off x="12481560" y="3040380"/>
          <a:ext cx="1348740" cy="990600"/>
        </a:xfrm>
        <a:prstGeom prst="straightConnector1">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15</xdr:col>
      <xdr:colOff>7620</xdr:colOff>
      <xdr:row>16</xdr:row>
      <xdr:rowOff>91440</xdr:rowOff>
    </xdr:from>
    <xdr:to>
      <xdr:col>16</xdr:col>
      <xdr:colOff>548640</xdr:colOff>
      <xdr:row>26</xdr:row>
      <xdr:rowOff>175260</xdr:rowOff>
    </xdr:to>
    <xdr:cxnSp macro="">
      <xdr:nvCxnSpPr>
        <xdr:cNvPr id="79" name="Conector recto de flecha 78">
          <a:extLst>
            <a:ext uri="{FF2B5EF4-FFF2-40B4-BE49-F238E27FC236}">
              <a16:creationId xmlns:a16="http://schemas.microsoft.com/office/drawing/2014/main" id="{653C64AA-28DF-4840-9710-8A7A517501F8}"/>
            </a:ext>
          </a:extLst>
        </xdr:cNvPr>
        <xdr:cNvCxnSpPr>
          <a:stCxn id="6" idx="3"/>
          <a:endCxn id="23" idx="1"/>
        </xdr:cNvCxnSpPr>
      </xdr:nvCxnSpPr>
      <xdr:spPr>
        <a:xfrm>
          <a:off x="12481560" y="3040380"/>
          <a:ext cx="1333500" cy="1912620"/>
        </a:xfrm>
        <a:prstGeom prst="straightConnector1">
          <a:avLst/>
        </a:prstGeom>
        <a:ln>
          <a:solidFill>
            <a:srgbClr val="7030A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7</xdr:col>
      <xdr:colOff>22860</xdr:colOff>
      <xdr:row>3</xdr:row>
      <xdr:rowOff>76200</xdr:rowOff>
    </xdr:from>
    <xdr:to>
      <xdr:col>8</xdr:col>
      <xdr:colOff>0</xdr:colOff>
      <xdr:row>3</xdr:row>
      <xdr:rowOff>106680</xdr:rowOff>
    </xdr:to>
    <xdr:cxnSp macro="">
      <xdr:nvCxnSpPr>
        <xdr:cNvPr id="122" name="Conector recto de flecha 121">
          <a:extLst>
            <a:ext uri="{FF2B5EF4-FFF2-40B4-BE49-F238E27FC236}">
              <a16:creationId xmlns:a16="http://schemas.microsoft.com/office/drawing/2014/main" id="{FBBFDC80-29C8-4515-87D3-DA55A69570C7}"/>
            </a:ext>
          </a:extLst>
        </xdr:cNvPr>
        <xdr:cNvCxnSpPr>
          <a:stCxn id="21" idx="3"/>
          <a:endCxn id="20" idx="1"/>
        </xdr:cNvCxnSpPr>
      </xdr:nvCxnSpPr>
      <xdr:spPr>
        <a:xfrm>
          <a:off x="6156960" y="624840"/>
          <a:ext cx="769620" cy="30480"/>
        </a:xfrm>
        <a:prstGeom prst="straightConnector1">
          <a:avLst/>
        </a:prstGeom>
        <a:ln>
          <a:solidFill>
            <a:srgbClr val="7030A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769620</xdr:colOff>
      <xdr:row>3</xdr:row>
      <xdr:rowOff>99060</xdr:rowOff>
    </xdr:from>
    <xdr:to>
      <xdr:col>11</xdr:col>
      <xdr:colOff>15240</xdr:colOff>
      <xdr:row>3</xdr:row>
      <xdr:rowOff>106680</xdr:rowOff>
    </xdr:to>
    <xdr:cxnSp macro="">
      <xdr:nvCxnSpPr>
        <xdr:cNvPr id="128" name="Conector recto de flecha 127">
          <a:extLst>
            <a:ext uri="{FF2B5EF4-FFF2-40B4-BE49-F238E27FC236}">
              <a16:creationId xmlns:a16="http://schemas.microsoft.com/office/drawing/2014/main" id="{AD8D0F3E-A5A6-4CBF-BB3D-7CFC056081AC}"/>
            </a:ext>
          </a:extLst>
        </xdr:cNvPr>
        <xdr:cNvCxnSpPr>
          <a:stCxn id="20" idx="3"/>
          <a:endCxn id="22" idx="1"/>
        </xdr:cNvCxnSpPr>
      </xdr:nvCxnSpPr>
      <xdr:spPr>
        <a:xfrm flipV="1">
          <a:off x="8488680" y="647700"/>
          <a:ext cx="830580" cy="7620"/>
        </a:xfrm>
        <a:prstGeom prst="straightConnector1">
          <a:avLst/>
        </a:prstGeom>
        <a:ln>
          <a:solidFill>
            <a:srgbClr val="7030A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7</xdr:col>
      <xdr:colOff>22860</xdr:colOff>
      <xdr:row>3</xdr:row>
      <xdr:rowOff>76200</xdr:rowOff>
    </xdr:from>
    <xdr:to>
      <xdr:col>13</xdr:col>
      <xdr:colOff>7620</xdr:colOff>
      <xdr:row>16</xdr:row>
      <xdr:rowOff>91440</xdr:rowOff>
    </xdr:to>
    <xdr:cxnSp macro="">
      <xdr:nvCxnSpPr>
        <xdr:cNvPr id="136" name="Conector recto de flecha 135">
          <a:extLst>
            <a:ext uri="{FF2B5EF4-FFF2-40B4-BE49-F238E27FC236}">
              <a16:creationId xmlns:a16="http://schemas.microsoft.com/office/drawing/2014/main" id="{95FA7C2D-E3E5-40A5-A0F7-FEE0504B57EA}"/>
            </a:ext>
          </a:extLst>
        </xdr:cNvPr>
        <xdr:cNvCxnSpPr>
          <a:stCxn id="21" idx="3"/>
          <a:endCxn id="6" idx="1"/>
        </xdr:cNvCxnSpPr>
      </xdr:nvCxnSpPr>
      <xdr:spPr>
        <a:xfrm>
          <a:off x="6156960" y="624840"/>
          <a:ext cx="4739640" cy="2415540"/>
        </a:xfrm>
        <a:prstGeom prst="straightConnector1">
          <a:avLst/>
        </a:prstGeom>
        <a:ln>
          <a:solidFill>
            <a:srgbClr val="7030A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769620</xdr:colOff>
      <xdr:row>3</xdr:row>
      <xdr:rowOff>106680</xdr:rowOff>
    </xdr:from>
    <xdr:to>
      <xdr:col>13</xdr:col>
      <xdr:colOff>7620</xdr:colOff>
      <xdr:row>16</xdr:row>
      <xdr:rowOff>91440</xdr:rowOff>
    </xdr:to>
    <xdr:cxnSp macro="">
      <xdr:nvCxnSpPr>
        <xdr:cNvPr id="143" name="Conector recto de flecha 142">
          <a:extLst>
            <a:ext uri="{FF2B5EF4-FFF2-40B4-BE49-F238E27FC236}">
              <a16:creationId xmlns:a16="http://schemas.microsoft.com/office/drawing/2014/main" id="{ACA8A621-51C1-42FE-B7E1-CD83ACB4781D}"/>
            </a:ext>
          </a:extLst>
        </xdr:cNvPr>
        <xdr:cNvCxnSpPr>
          <a:stCxn id="20" idx="3"/>
          <a:endCxn id="6" idx="1"/>
        </xdr:cNvCxnSpPr>
      </xdr:nvCxnSpPr>
      <xdr:spPr>
        <a:xfrm>
          <a:off x="8488680" y="655320"/>
          <a:ext cx="2407920" cy="2385060"/>
        </a:xfrm>
        <a:prstGeom prst="straightConnector1">
          <a:avLst/>
        </a:prstGeom>
        <a:ln>
          <a:solidFill>
            <a:srgbClr val="7030A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18</xdr:col>
      <xdr:colOff>533400</xdr:colOff>
      <xdr:row>26</xdr:row>
      <xdr:rowOff>175260</xdr:rowOff>
    </xdr:from>
    <xdr:to>
      <xdr:col>23</xdr:col>
      <xdr:colOff>7620</xdr:colOff>
      <xdr:row>27</xdr:row>
      <xdr:rowOff>22860</xdr:rowOff>
    </xdr:to>
    <xdr:cxnSp macro="">
      <xdr:nvCxnSpPr>
        <xdr:cNvPr id="208" name="Conector recto de flecha 207">
          <a:extLst>
            <a:ext uri="{FF2B5EF4-FFF2-40B4-BE49-F238E27FC236}">
              <a16:creationId xmlns:a16="http://schemas.microsoft.com/office/drawing/2014/main" id="{5B9F8381-77A6-4D80-B704-808844DC916B}"/>
            </a:ext>
          </a:extLst>
        </xdr:cNvPr>
        <xdr:cNvCxnSpPr>
          <a:stCxn id="23" idx="3"/>
          <a:endCxn id="19" idx="1"/>
        </xdr:cNvCxnSpPr>
      </xdr:nvCxnSpPr>
      <xdr:spPr>
        <a:xfrm>
          <a:off x="15384780" y="4953000"/>
          <a:ext cx="3436620" cy="30480"/>
        </a:xfrm>
        <a:prstGeom prst="straightConnector1">
          <a:avLst/>
        </a:prstGeom>
        <a:ln>
          <a:solidFill>
            <a:srgbClr val="7030A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11</xdr:col>
      <xdr:colOff>788670</xdr:colOff>
      <xdr:row>4</xdr:row>
      <xdr:rowOff>160020</xdr:rowOff>
    </xdr:from>
    <xdr:to>
      <xdr:col>12</xdr:col>
      <xdr:colOff>26670</xdr:colOff>
      <xdr:row>26</xdr:row>
      <xdr:rowOff>60960</xdr:rowOff>
    </xdr:to>
    <xdr:cxnSp macro="">
      <xdr:nvCxnSpPr>
        <xdr:cNvPr id="229" name="Conector recto de flecha 228">
          <a:extLst>
            <a:ext uri="{FF2B5EF4-FFF2-40B4-BE49-F238E27FC236}">
              <a16:creationId xmlns:a16="http://schemas.microsoft.com/office/drawing/2014/main" id="{00262B2B-4F36-4A16-92ED-6CC7F50FDB2A}"/>
            </a:ext>
          </a:extLst>
        </xdr:cNvPr>
        <xdr:cNvCxnSpPr>
          <a:stCxn id="22" idx="2"/>
          <a:endCxn id="52" idx="0"/>
        </xdr:cNvCxnSpPr>
      </xdr:nvCxnSpPr>
      <xdr:spPr>
        <a:xfrm>
          <a:off x="10092690" y="891540"/>
          <a:ext cx="30480" cy="3947160"/>
        </a:xfrm>
        <a:prstGeom prst="straightConnector1">
          <a:avLst/>
        </a:prstGeom>
        <a:ln>
          <a:solidFill>
            <a:srgbClr val="00B05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12</xdr:col>
      <xdr:colOff>26670</xdr:colOff>
      <xdr:row>29</xdr:row>
      <xdr:rowOff>53340</xdr:rowOff>
    </xdr:from>
    <xdr:to>
      <xdr:col>12</xdr:col>
      <xdr:colOff>26670</xdr:colOff>
      <xdr:row>31</xdr:row>
      <xdr:rowOff>167640</xdr:rowOff>
    </xdr:to>
    <xdr:cxnSp macro="">
      <xdr:nvCxnSpPr>
        <xdr:cNvPr id="317" name="Conector recto de flecha 316">
          <a:extLst>
            <a:ext uri="{FF2B5EF4-FFF2-40B4-BE49-F238E27FC236}">
              <a16:creationId xmlns:a16="http://schemas.microsoft.com/office/drawing/2014/main" id="{828CAD9D-A509-4825-B400-4EF3662D8548}"/>
            </a:ext>
          </a:extLst>
        </xdr:cNvPr>
        <xdr:cNvCxnSpPr>
          <a:stCxn id="18" idx="0"/>
          <a:endCxn id="52" idx="2"/>
        </xdr:cNvCxnSpPr>
      </xdr:nvCxnSpPr>
      <xdr:spPr>
        <a:xfrm flipV="1">
          <a:off x="10123170" y="5379720"/>
          <a:ext cx="0" cy="480060"/>
        </a:xfrm>
        <a:prstGeom prst="straightConnector1">
          <a:avLst/>
        </a:prstGeom>
        <a:ln>
          <a:solidFill>
            <a:srgbClr val="00B05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781050</xdr:colOff>
      <xdr:row>13</xdr:row>
      <xdr:rowOff>30480</xdr:rowOff>
    </xdr:from>
    <xdr:to>
      <xdr:col>2</xdr:col>
      <xdr:colOff>788670</xdr:colOff>
      <xdr:row>21</xdr:row>
      <xdr:rowOff>7620</xdr:rowOff>
    </xdr:to>
    <xdr:cxnSp macro="">
      <xdr:nvCxnSpPr>
        <xdr:cNvPr id="332" name="Conector recto de flecha 331">
          <a:extLst>
            <a:ext uri="{FF2B5EF4-FFF2-40B4-BE49-F238E27FC236}">
              <a16:creationId xmlns:a16="http://schemas.microsoft.com/office/drawing/2014/main" id="{19DA206A-3FC2-482C-9BD2-C299895A1838}"/>
            </a:ext>
          </a:extLst>
        </xdr:cNvPr>
        <xdr:cNvCxnSpPr>
          <a:stCxn id="10" idx="2"/>
          <a:endCxn id="5" idx="0"/>
        </xdr:cNvCxnSpPr>
      </xdr:nvCxnSpPr>
      <xdr:spPr>
        <a:xfrm flipH="1">
          <a:off x="2952750" y="2430780"/>
          <a:ext cx="7620" cy="1440180"/>
        </a:xfrm>
        <a:prstGeom prst="straightConnector1">
          <a:avLst/>
        </a:prstGeom>
        <a:ln>
          <a:solidFill>
            <a:srgbClr val="00B050"/>
          </a:solidFill>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781050</xdr:colOff>
      <xdr:row>23</xdr:row>
      <xdr:rowOff>144780</xdr:rowOff>
    </xdr:from>
    <xdr:to>
      <xdr:col>3</xdr:col>
      <xdr:colOff>11430</xdr:colOff>
      <xdr:row>29</xdr:row>
      <xdr:rowOff>53340</xdr:rowOff>
    </xdr:to>
    <xdr:cxnSp macro="">
      <xdr:nvCxnSpPr>
        <xdr:cNvPr id="347" name="Conector recto de flecha 346">
          <a:extLst>
            <a:ext uri="{FF2B5EF4-FFF2-40B4-BE49-F238E27FC236}">
              <a16:creationId xmlns:a16="http://schemas.microsoft.com/office/drawing/2014/main" id="{AD7F7C37-919C-46D7-9097-3860CF4A7E37}"/>
            </a:ext>
          </a:extLst>
        </xdr:cNvPr>
        <xdr:cNvCxnSpPr>
          <a:stCxn id="5" idx="2"/>
          <a:endCxn id="11" idx="0"/>
        </xdr:cNvCxnSpPr>
      </xdr:nvCxnSpPr>
      <xdr:spPr>
        <a:xfrm>
          <a:off x="2952750" y="4373880"/>
          <a:ext cx="22860" cy="1005840"/>
        </a:xfrm>
        <a:prstGeom prst="straightConnector1">
          <a:avLst/>
        </a:prstGeom>
        <a:ln>
          <a:solidFill>
            <a:srgbClr val="00B05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7</xdr:col>
      <xdr:colOff>0</xdr:colOff>
      <xdr:row>11</xdr:row>
      <xdr:rowOff>129540</xdr:rowOff>
    </xdr:from>
    <xdr:to>
      <xdr:col>7</xdr:col>
      <xdr:colOff>784860</xdr:colOff>
      <xdr:row>11</xdr:row>
      <xdr:rowOff>133350</xdr:rowOff>
    </xdr:to>
    <xdr:cxnSp macro="">
      <xdr:nvCxnSpPr>
        <xdr:cNvPr id="353" name="Conector recto de flecha 352">
          <a:extLst>
            <a:ext uri="{FF2B5EF4-FFF2-40B4-BE49-F238E27FC236}">
              <a16:creationId xmlns:a16="http://schemas.microsoft.com/office/drawing/2014/main" id="{3140267A-2F44-43DB-A570-20160DBCEFF2}"/>
            </a:ext>
          </a:extLst>
        </xdr:cNvPr>
        <xdr:cNvCxnSpPr>
          <a:stCxn id="4" idx="3"/>
          <a:endCxn id="16" idx="1"/>
        </xdr:cNvCxnSpPr>
      </xdr:nvCxnSpPr>
      <xdr:spPr>
        <a:xfrm flipV="1">
          <a:off x="6134100" y="2164080"/>
          <a:ext cx="784860" cy="3810"/>
        </a:xfrm>
        <a:prstGeom prst="straightConnector1">
          <a:avLst/>
        </a:prstGeom>
        <a:ln>
          <a:solidFill>
            <a:srgbClr val="00B05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17</xdr:col>
      <xdr:colOff>529590</xdr:colOff>
      <xdr:row>11</xdr:row>
      <xdr:rowOff>45720</xdr:rowOff>
    </xdr:from>
    <xdr:to>
      <xdr:col>17</xdr:col>
      <xdr:colOff>537210</xdr:colOff>
      <xdr:row>15</xdr:row>
      <xdr:rowOff>22860</xdr:rowOff>
    </xdr:to>
    <xdr:cxnSp macro="">
      <xdr:nvCxnSpPr>
        <xdr:cNvPr id="386" name="Conector recto de flecha 385">
          <a:extLst>
            <a:ext uri="{FF2B5EF4-FFF2-40B4-BE49-F238E27FC236}">
              <a16:creationId xmlns:a16="http://schemas.microsoft.com/office/drawing/2014/main" id="{6F45488E-03AD-4906-B528-B0D416A5EF82}"/>
            </a:ext>
          </a:extLst>
        </xdr:cNvPr>
        <xdr:cNvCxnSpPr>
          <a:stCxn id="7" idx="0"/>
          <a:endCxn id="398" idx="2"/>
        </xdr:cNvCxnSpPr>
      </xdr:nvCxnSpPr>
      <xdr:spPr>
        <a:xfrm flipH="1" flipV="1">
          <a:off x="14588490" y="2080260"/>
          <a:ext cx="7620" cy="708660"/>
        </a:xfrm>
        <a:prstGeom prst="straightConnector1">
          <a:avLst/>
        </a:prstGeom>
        <a:ln>
          <a:solidFill>
            <a:srgbClr val="00B05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20</xdr:col>
      <xdr:colOff>784860</xdr:colOff>
      <xdr:row>16</xdr:row>
      <xdr:rowOff>80010</xdr:rowOff>
    </xdr:from>
    <xdr:to>
      <xdr:col>23</xdr:col>
      <xdr:colOff>0</xdr:colOff>
      <xdr:row>17</xdr:row>
      <xdr:rowOff>129540</xdr:rowOff>
    </xdr:to>
    <xdr:cxnSp macro="">
      <xdr:nvCxnSpPr>
        <xdr:cNvPr id="389" name="Conector recto de flecha 388">
          <a:extLst>
            <a:ext uri="{FF2B5EF4-FFF2-40B4-BE49-F238E27FC236}">
              <a16:creationId xmlns:a16="http://schemas.microsoft.com/office/drawing/2014/main" id="{7BA48511-CCCC-4383-8C9A-89F929FC3889}"/>
            </a:ext>
          </a:extLst>
        </xdr:cNvPr>
        <xdr:cNvCxnSpPr>
          <a:stCxn id="1068" idx="3"/>
          <a:endCxn id="14" idx="1"/>
        </xdr:cNvCxnSpPr>
      </xdr:nvCxnSpPr>
      <xdr:spPr>
        <a:xfrm>
          <a:off x="17221200" y="3028950"/>
          <a:ext cx="1592580" cy="232410"/>
        </a:xfrm>
        <a:prstGeom prst="straightConnector1">
          <a:avLst/>
        </a:prstGeom>
        <a:ln>
          <a:solidFill>
            <a:srgbClr val="00B05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18</xdr:col>
      <xdr:colOff>556260</xdr:colOff>
      <xdr:row>21</xdr:row>
      <xdr:rowOff>167640</xdr:rowOff>
    </xdr:from>
    <xdr:to>
      <xdr:col>23</xdr:col>
      <xdr:colOff>30480</xdr:colOff>
      <xdr:row>22</xdr:row>
      <xdr:rowOff>0</xdr:rowOff>
    </xdr:to>
    <xdr:cxnSp macro="">
      <xdr:nvCxnSpPr>
        <xdr:cNvPr id="392" name="Conector recto de flecha 391">
          <a:extLst>
            <a:ext uri="{FF2B5EF4-FFF2-40B4-BE49-F238E27FC236}">
              <a16:creationId xmlns:a16="http://schemas.microsoft.com/office/drawing/2014/main" id="{6742FC9E-C955-47ED-881C-5DC3008ED482}"/>
            </a:ext>
          </a:extLst>
        </xdr:cNvPr>
        <xdr:cNvCxnSpPr>
          <a:stCxn id="8" idx="3"/>
          <a:endCxn id="15" idx="1"/>
        </xdr:cNvCxnSpPr>
      </xdr:nvCxnSpPr>
      <xdr:spPr>
        <a:xfrm>
          <a:off x="15407640" y="4030980"/>
          <a:ext cx="3436620" cy="15240"/>
        </a:xfrm>
        <a:prstGeom prst="straightConnector1">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16</xdr:col>
      <xdr:colOff>541020</xdr:colOff>
      <xdr:row>7</xdr:row>
      <xdr:rowOff>30480</xdr:rowOff>
    </xdr:from>
    <xdr:to>
      <xdr:col>18</xdr:col>
      <xdr:colOff>518160</xdr:colOff>
      <xdr:row>11</xdr:row>
      <xdr:rowOff>45720</xdr:rowOff>
    </xdr:to>
    <xdr:sp macro="" textlink="">
      <xdr:nvSpPr>
        <xdr:cNvPr id="398" name="Rectángulo: esquinas redondeadas 397">
          <a:extLst>
            <a:ext uri="{FF2B5EF4-FFF2-40B4-BE49-F238E27FC236}">
              <a16:creationId xmlns:a16="http://schemas.microsoft.com/office/drawing/2014/main" id="{69AF2FF2-9323-42C1-B21A-748565D8E380}"/>
            </a:ext>
          </a:extLst>
        </xdr:cNvPr>
        <xdr:cNvSpPr/>
      </xdr:nvSpPr>
      <xdr:spPr>
        <a:xfrm>
          <a:off x="13807440" y="1325880"/>
          <a:ext cx="1562100" cy="754380"/>
        </a:xfrm>
        <a:prstGeom prst="round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t>H2 Pressure Reducer Valve</a:t>
          </a:r>
        </a:p>
        <a:p>
          <a:pPr algn="ctr"/>
          <a:r>
            <a:rPr lang="es-CL" sz="1100"/>
            <a:t>(Atm-5-200 bar)</a:t>
          </a:r>
        </a:p>
      </xdr:txBody>
    </xdr:sp>
    <xdr:clientData/>
  </xdr:twoCellAnchor>
  <xdr:twoCellAnchor>
    <xdr:from>
      <xdr:col>17</xdr:col>
      <xdr:colOff>529590</xdr:colOff>
      <xdr:row>6</xdr:row>
      <xdr:rowOff>53340</xdr:rowOff>
    </xdr:from>
    <xdr:to>
      <xdr:col>17</xdr:col>
      <xdr:colOff>529590</xdr:colOff>
      <xdr:row>7</xdr:row>
      <xdr:rowOff>30480</xdr:rowOff>
    </xdr:to>
    <xdr:cxnSp macro="">
      <xdr:nvCxnSpPr>
        <xdr:cNvPr id="401" name="Conector recto de flecha 400">
          <a:extLst>
            <a:ext uri="{FF2B5EF4-FFF2-40B4-BE49-F238E27FC236}">
              <a16:creationId xmlns:a16="http://schemas.microsoft.com/office/drawing/2014/main" id="{FC91835D-FF3B-4E04-AF73-BD7C7EB1982E}"/>
            </a:ext>
          </a:extLst>
        </xdr:cNvPr>
        <xdr:cNvCxnSpPr>
          <a:stCxn id="398" idx="0"/>
          <a:endCxn id="17" idx="2"/>
        </xdr:cNvCxnSpPr>
      </xdr:nvCxnSpPr>
      <xdr:spPr>
        <a:xfrm flipV="1">
          <a:off x="14588490" y="1165860"/>
          <a:ext cx="0" cy="160020"/>
        </a:xfrm>
        <a:prstGeom prst="straightConnector1">
          <a:avLst/>
        </a:prstGeom>
        <a:ln>
          <a:solidFill>
            <a:srgbClr val="00B05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20</xdr:col>
      <xdr:colOff>784860</xdr:colOff>
      <xdr:row>12</xdr:row>
      <xdr:rowOff>175260</xdr:rowOff>
    </xdr:from>
    <xdr:to>
      <xdr:col>23</xdr:col>
      <xdr:colOff>0</xdr:colOff>
      <xdr:row>16</xdr:row>
      <xdr:rowOff>80010</xdr:rowOff>
    </xdr:to>
    <xdr:cxnSp macro="">
      <xdr:nvCxnSpPr>
        <xdr:cNvPr id="422" name="Conector recto de flecha 421">
          <a:extLst>
            <a:ext uri="{FF2B5EF4-FFF2-40B4-BE49-F238E27FC236}">
              <a16:creationId xmlns:a16="http://schemas.microsoft.com/office/drawing/2014/main" id="{2DEB6C73-D2F1-4473-BF15-68B410C3EB57}"/>
            </a:ext>
          </a:extLst>
        </xdr:cNvPr>
        <xdr:cNvCxnSpPr>
          <a:stCxn id="1068" idx="3"/>
          <a:endCxn id="13" idx="1"/>
        </xdr:cNvCxnSpPr>
      </xdr:nvCxnSpPr>
      <xdr:spPr>
        <a:xfrm flipV="1">
          <a:off x="17221200" y="2392680"/>
          <a:ext cx="1592580" cy="636270"/>
        </a:xfrm>
        <a:prstGeom prst="straightConnector1">
          <a:avLst/>
        </a:prstGeom>
        <a:ln>
          <a:solidFill>
            <a:srgbClr val="00B05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18</xdr:col>
      <xdr:colOff>518160</xdr:colOff>
      <xdr:row>9</xdr:row>
      <xdr:rowOff>7620</xdr:rowOff>
    </xdr:from>
    <xdr:to>
      <xdr:col>23</xdr:col>
      <xdr:colOff>15240</xdr:colOff>
      <xdr:row>9</xdr:row>
      <xdr:rowOff>34290</xdr:rowOff>
    </xdr:to>
    <xdr:cxnSp macro="">
      <xdr:nvCxnSpPr>
        <xdr:cNvPr id="425" name="Conector recto de flecha 424">
          <a:extLst>
            <a:ext uri="{FF2B5EF4-FFF2-40B4-BE49-F238E27FC236}">
              <a16:creationId xmlns:a16="http://schemas.microsoft.com/office/drawing/2014/main" id="{F3B68F17-EB8B-4CB7-B90D-E5FF5D59EA30}"/>
            </a:ext>
          </a:extLst>
        </xdr:cNvPr>
        <xdr:cNvCxnSpPr>
          <a:stCxn id="398" idx="3"/>
          <a:endCxn id="12" idx="1"/>
        </xdr:cNvCxnSpPr>
      </xdr:nvCxnSpPr>
      <xdr:spPr>
        <a:xfrm flipV="1">
          <a:off x="15369540" y="1676400"/>
          <a:ext cx="3459480" cy="26670"/>
        </a:xfrm>
        <a:prstGeom prst="straightConnector1">
          <a:avLst/>
        </a:prstGeom>
        <a:ln>
          <a:solidFill>
            <a:srgbClr val="00B05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13</xdr:col>
      <xdr:colOff>38100</xdr:colOff>
      <xdr:row>17</xdr:row>
      <xdr:rowOff>160020</xdr:rowOff>
    </xdr:from>
    <xdr:to>
      <xdr:col>14</xdr:col>
      <xdr:colOff>7620</xdr:colOff>
      <xdr:row>27</xdr:row>
      <xdr:rowOff>148590</xdr:rowOff>
    </xdr:to>
    <xdr:cxnSp macro="">
      <xdr:nvCxnSpPr>
        <xdr:cNvPr id="998" name="Conector: angular 997">
          <a:extLst>
            <a:ext uri="{FF2B5EF4-FFF2-40B4-BE49-F238E27FC236}">
              <a16:creationId xmlns:a16="http://schemas.microsoft.com/office/drawing/2014/main" id="{04723FD1-6493-41B6-8B07-CE6A9A478928}"/>
            </a:ext>
          </a:extLst>
        </xdr:cNvPr>
        <xdr:cNvCxnSpPr>
          <a:stCxn id="52" idx="3"/>
          <a:endCxn id="6" idx="2"/>
        </xdr:cNvCxnSpPr>
      </xdr:nvCxnSpPr>
      <xdr:spPr>
        <a:xfrm flipV="1">
          <a:off x="10927080" y="3291840"/>
          <a:ext cx="762000" cy="1817370"/>
        </a:xfrm>
        <a:prstGeom prst="bentConnector2">
          <a:avLst/>
        </a:prstGeom>
        <a:ln>
          <a:solidFill>
            <a:srgbClr val="00B050"/>
          </a:solidFill>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777240</xdr:colOff>
      <xdr:row>13</xdr:row>
      <xdr:rowOff>15240</xdr:rowOff>
    </xdr:from>
    <xdr:to>
      <xdr:col>8</xdr:col>
      <xdr:colOff>781050</xdr:colOff>
      <xdr:row>22</xdr:row>
      <xdr:rowOff>76200</xdr:rowOff>
    </xdr:to>
    <xdr:cxnSp macro="">
      <xdr:nvCxnSpPr>
        <xdr:cNvPr id="1007" name="Conector: angular 1006">
          <a:extLst>
            <a:ext uri="{FF2B5EF4-FFF2-40B4-BE49-F238E27FC236}">
              <a16:creationId xmlns:a16="http://schemas.microsoft.com/office/drawing/2014/main" id="{F8D129D7-487D-4EA2-94F6-DBE78FA55711}"/>
            </a:ext>
          </a:extLst>
        </xdr:cNvPr>
        <xdr:cNvCxnSpPr>
          <a:stCxn id="16" idx="2"/>
          <a:endCxn id="5" idx="3"/>
        </xdr:cNvCxnSpPr>
      </xdr:nvCxnSpPr>
      <xdr:spPr>
        <a:xfrm rot="5400000">
          <a:off x="4871085" y="1285875"/>
          <a:ext cx="1706880" cy="3966210"/>
        </a:xfrm>
        <a:prstGeom prst="bentConnector2">
          <a:avLst/>
        </a:prstGeom>
        <a:ln>
          <a:solidFill>
            <a:srgbClr val="00B050"/>
          </a:solidFill>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2</xdr:col>
      <xdr:colOff>788670</xdr:colOff>
      <xdr:row>3</xdr:row>
      <xdr:rowOff>76200</xdr:rowOff>
    </xdr:from>
    <xdr:to>
      <xdr:col>5</xdr:col>
      <xdr:colOff>22860</xdr:colOff>
      <xdr:row>10</xdr:row>
      <xdr:rowOff>76200</xdr:rowOff>
    </xdr:to>
    <xdr:cxnSp macro="">
      <xdr:nvCxnSpPr>
        <xdr:cNvPr id="1013" name="Conector: angular 1012">
          <a:extLst>
            <a:ext uri="{FF2B5EF4-FFF2-40B4-BE49-F238E27FC236}">
              <a16:creationId xmlns:a16="http://schemas.microsoft.com/office/drawing/2014/main" id="{12648ADC-6C3C-40BC-9AF0-546C7B4DA14E}"/>
            </a:ext>
          </a:extLst>
        </xdr:cNvPr>
        <xdr:cNvCxnSpPr>
          <a:stCxn id="10" idx="0"/>
          <a:endCxn id="21" idx="1"/>
        </xdr:cNvCxnSpPr>
      </xdr:nvCxnSpPr>
      <xdr:spPr>
        <a:xfrm rot="5400000" flipH="1" flipV="1">
          <a:off x="3114675" y="470535"/>
          <a:ext cx="1303020" cy="1611630"/>
        </a:xfrm>
        <a:prstGeom prst="bentConnector2">
          <a:avLst/>
        </a:prstGeom>
        <a:ln>
          <a:solidFill>
            <a:srgbClr val="00B050"/>
          </a:solidFill>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777240</xdr:colOff>
      <xdr:row>9</xdr:row>
      <xdr:rowOff>34290</xdr:rowOff>
    </xdr:from>
    <xdr:to>
      <xdr:col>16</xdr:col>
      <xdr:colOff>541020</xdr:colOff>
      <xdr:row>11</xdr:row>
      <xdr:rowOff>129540</xdr:rowOff>
    </xdr:to>
    <xdr:cxnSp macro="">
      <xdr:nvCxnSpPr>
        <xdr:cNvPr id="1038" name="Conector: angular 1037">
          <a:extLst>
            <a:ext uri="{FF2B5EF4-FFF2-40B4-BE49-F238E27FC236}">
              <a16:creationId xmlns:a16="http://schemas.microsoft.com/office/drawing/2014/main" id="{D8A08303-95CC-41B8-AA42-DE65D3E2E4F1}"/>
            </a:ext>
          </a:extLst>
        </xdr:cNvPr>
        <xdr:cNvCxnSpPr>
          <a:stCxn id="16" idx="3"/>
          <a:endCxn id="398" idx="1"/>
        </xdr:cNvCxnSpPr>
      </xdr:nvCxnSpPr>
      <xdr:spPr>
        <a:xfrm flipV="1">
          <a:off x="8496300" y="1703070"/>
          <a:ext cx="5311140" cy="461010"/>
        </a:xfrm>
        <a:prstGeom prst="bentConnector3">
          <a:avLst>
            <a:gd name="adj1" fmla="val 44261"/>
          </a:avLst>
        </a:prstGeom>
        <a:ln>
          <a:solidFill>
            <a:srgbClr val="00B050"/>
          </a:solidFill>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19</xdr:col>
      <xdr:colOff>7620</xdr:colOff>
      <xdr:row>14</xdr:row>
      <xdr:rowOff>175260</xdr:rowOff>
    </xdr:from>
    <xdr:to>
      <xdr:col>20</xdr:col>
      <xdr:colOff>784860</xdr:colOff>
      <xdr:row>17</xdr:row>
      <xdr:rowOff>167640</xdr:rowOff>
    </xdr:to>
    <xdr:sp macro="" textlink="">
      <xdr:nvSpPr>
        <xdr:cNvPr id="1068" name="Rectángulo: esquinas redondeadas 1067">
          <a:extLst>
            <a:ext uri="{FF2B5EF4-FFF2-40B4-BE49-F238E27FC236}">
              <a16:creationId xmlns:a16="http://schemas.microsoft.com/office/drawing/2014/main" id="{F8BD4464-1BD0-403F-9F7F-6E3E71E5F569}"/>
            </a:ext>
          </a:extLst>
        </xdr:cNvPr>
        <xdr:cNvSpPr/>
      </xdr:nvSpPr>
      <xdr:spPr>
        <a:xfrm>
          <a:off x="15651480" y="2758440"/>
          <a:ext cx="1569720" cy="5410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t>Vehicle GH2 Storage</a:t>
          </a:r>
        </a:p>
        <a:p>
          <a:pPr algn="ctr"/>
          <a:r>
            <a:rPr lang="es-CL" sz="1100"/>
            <a:t>(350-700 bar)</a:t>
          </a:r>
        </a:p>
      </xdr:txBody>
    </xdr:sp>
    <xdr:clientData/>
  </xdr:twoCellAnchor>
  <xdr:twoCellAnchor>
    <xdr:from>
      <xdr:col>18</xdr:col>
      <xdr:colOff>525780</xdr:colOff>
      <xdr:row>16</xdr:row>
      <xdr:rowOff>80010</xdr:rowOff>
    </xdr:from>
    <xdr:to>
      <xdr:col>19</xdr:col>
      <xdr:colOff>7620</xdr:colOff>
      <xdr:row>16</xdr:row>
      <xdr:rowOff>80010</xdr:rowOff>
    </xdr:to>
    <xdr:cxnSp macro="">
      <xdr:nvCxnSpPr>
        <xdr:cNvPr id="1072" name="Conector recto de flecha 1071">
          <a:extLst>
            <a:ext uri="{FF2B5EF4-FFF2-40B4-BE49-F238E27FC236}">
              <a16:creationId xmlns:a16="http://schemas.microsoft.com/office/drawing/2014/main" id="{7923C7E4-C410-4EBB-9FAB-DAE10115AF5F}"/>
            </a:ext>
          </a:extLst>
        </xdr:cNvPr>
        <xdr:cNvCxnSpPr>
          <a:stCxn id="7" idx="3"/>
          <a:endCxn id="1068" idx="1"/>
        </xdr:cNvCxnSpPr>
      </xdr:nvCxnSpPr>
      <xdr:spPr>
        <a:xfrm>
          <a:off x="15377160" y="3028950"/>
          <a:ext cx="274320" cy="0"/>
        </a:xfrm>
        <a:prstGeom prst="straightConnector1">
          <a:avLst/>
        </a:prstGeom>
        <a:ln>
          <a:solidFill>
            <a:srgbClr val="00B05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8</xdr:col>
      <xdr:colOff>754380</xdr:colOff>
      <xdr:row>16</xdr:row>
      <xdr:rowOff>91440</xdr:rowOff>
    </xdr:from>
    <xdr:to>
      <xdr:col>13</xdr:col>
      <xdr:colOff>7620</xdr:colOff>
      <xdr:row>30</xdr:row>
      <xdr:rowOff>125730</xdr:rowOff>
    </xdr:to>
    <xdr:cxnSp macro="">
      <xdr:nvCxnSpPr>
        <xdr:cNvPr id="1090" name="Conector: angular 1089">
          <a:extLst>
            <a:ext uri="{FF2B5EF4-FFF2-40B4-BE49-F238E27FC236}">
              <a16:creationId xmlns:a16="http://schemas.microsoft.com/office/drawing/2014/main" id="{7E1EFCC2-3198-4770-A9EB-9CB742C75F2A}"/>
            </a:ext>
          </a:extLst>
        </xdr:cNvPr>
        <xdr:cNvCxnSpPr>
          <a:stCxn id="3" idx="3"/>
          <a:endCxn id="6" idx="1"/>
        </xdr:cNvCxnSpPr>
      </xdr:nvCxnSpPr>
      <xdr:spPr>
        <a:xfrm flipV="1">
          <a:off x="7680960" y="3040380"/>
          <a:ext cx="3215640" cy="2594610"/>
        </a:xfrm>
        <a:prstGeom prst="bentConnector3">
          <a:avLst>
            <a:gd name="adj1" fmla="val 31991"/>
          </a:avLst>
        </a:prstGeom>
        <a:ln>
          <a:solidFill>
            <a:srgbClr val="FF0000"/>
          </a:solidFill>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7</xdr:col>
      <xdr:colOff>762000</xdr:colOff>
      <xdr:row>32</xdr:row>
      <xdr:rowOff>0</xdr:rowOff>
    </xdr:from>
    <xdr:to>
      <xdr:col>11</xdr:col>
      <xdr:colOff>22860</xdr:colOff>
      <xdr:row>33</xdr:row>
      <xdr:rowOff>53340</xdr:rowOff>
    </xdr:to>
    <xdr:cxnSp macro="">
      <xdr:nvCxnSpPr>
        <xdr:cNvPr id="1094" name="Conector: angular 1093">
          <a:extLst>
            <a:ext uri="{FF2B5EF4-FFF2-40B4-BE49-F238E27FC236}">
              <a16:creationId xmlns:a16="http://schemas.microsoft.com/office/drawing/2014/main" id="{24D29BD0-7110-48F4-A186-52FD20FDD9FA}"/>
            </a:ext>
          </a:extLst>
        </xdr:cNvPr>
        <xdr:cNvCxnSpPr>
          <a:stCxn id="3" idx="2"/>
          <a:endCxn id="18" idx="1"/>
        </xdr:cNvCxnSpPr>
      </xdr:nvCxnSpPr>
      <xdr:spPr>
        <a:xfrm rot="16200000" flipH="1">
          <a:off x="7993380" y="4777740"/>
          <a:ext cx="236220" cy="2430780"/>
        </a:xfrm>
        <a:prstGeom prst="bentConnector2">
          <a:avLst/>
        </a:prstGeom>
        <a:ln>
          <a:solidFill>
            <a:srgbClr val="FF0000"/>
          </a:solidFill>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6</xdr:col>
      <xdr:colOff>7620</xdr:colOff>
      <xdr:row>13</xdr:row>
      <xdr:rowOff>38100</xdr:rowOff>
    </xdr:from>
    <xdr:to>
      <xdr:col>11</xdr:col>
      <xdr:colOff>15240</xdr:colOff>
      <xdr:row>27</xdr:row>
      <xdr:rowOff>148590</xdr:rowOff>
    </xdr:to>
    <xdr:cxnSp macro="">
      <xdr:nvCxnSpPr>
        <xdr:cNvPr id="1103" name="Conector: angular 1102">
          <a:extLst>
            <a:ext uri="{FF2B5EF4-FFF2-40B4-BE49-F238E27FC236}">
              <a16:creationId xmlns:a16="http://schemas.microsoft.com/office/drawing/2014/main" id="{3A56C1C8-D252-4C4D-B8AB-91D083602DAF}"/>
            </a:ext>
          </a:extLst>
        </xdr:cNvPr>
        <xdr:cNvCxnSpPr>
          <a:stCxn id="4" idx="2"/>
          <a:endCxn id="52" idx="1"/>
        </xdr:cNvCxnSpPr>
      </xdr:nvCxnSpPr>
      <xdr:spPr>
        <a:xfrm rot="16200000" flipH="1">
          <a:off x="5998845" y="1788795"/>
          <a:ext cx="2670810" cy="3970020"/>
        </a:xfrm>
        <a:prstGeom prst="bentConnector2">
          <a:avLst/>
        </a:prstGeom>
        <a:ln>
          <a:solidFill>
            <a:srgbClr val="00B050"/>
          </a:solidFill>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xdr:col>
      <xdr:colOff>586740</xdr:colOff>
      <xdr:row>11</xdr:row>
      <xdr:rowOff>144780</xdr:rowOff>
    </xdr:from>
    <xdr:to>
      <xdr:col>2</xdr:col>
      <xdr:colOff>0</xdr:colOff>
      <xdr:row>16</xdr:row>
      <xdr:rowOff>99060</xdr:rowOff>
    </xdr:to>
    <xdr:cxnSp macro="">
      <xdr:nvCxnSpPr>
        <xdr:cNvPr id="1106" name="Conector: angular 1105">
          <a:extLst>
            <a:ext uri="{FF2B5EF4-FFF2-40B4-BE49-F238E27FC236}">
              <a16:creationId xmlns:a16="http://schemas.microsoft.com/office/drawing/2014/main" id="{C68DA68C-E699-46AA-88E1-528A4FE5F9E3}"/>
            </a:ext>
          </a:extLst>
        </xdr:cNvPr>
        <xdr:cNvCxnSpPr>
          <a:stCxn id="2" idx="3"/>
          <a:endCxn id="10" idx="1"/>
        </xdr:cNvCxnSpPr>
      </xdr:nvCxnSpPr>
      <xdr:spPr>
        <a:xfrm flipV="1">
          <a:off x="1379220" y="2179320"/>
          <a:ext cx="792480" cy="868680"/>
        </a:xfrm>
        <a:prstGeom prst="bentConnector3">
          <a:avLst>
            <a:gd name="adj1" fmla="val 50000"/>
          </a:avLst>
        </a:prstGeom>
        <a:ln>
          <a:solidFill>
            <a:srgbClr val="00B050"/>
          </a:solidFill>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xdr:col>
      <xdr:colOff>586740</xdr:colOff>
      <xdr:row>16</xdr:row>
      <xdr:rowOff>99060</xdr:rowOff>
    </xdr:from>
    <xdr:to>
      <xdr:col>2</xdr:col>
      <xdr:colOff>22860</xdr:colOff>
      <xdr:row>30</xdr:row>
      <xdr:rowOff>137160</xdr:rowOff>
    </xdr:to>
    <xdr:cxnSp macro="">
      <xdr:nvCxnSpPr>
        <xdr:cNvPr id="1109" name="Conector: angular 1108">
          <a:extLst>
            <a:ext uri="{FF2B5EF4-FFF2-40B4-BE49-F238E27FC236}">
              <a16:creationId xmlns:a16="http://schemas.microsoft.com/office/drawing/2014/main" id="{71C4218E-2880-4B1C-9359-ACE25C3F002D}"/>
            </a:ext>
          </a:extLst>
        </xdr:cNvPr>
        <xdr:cNvCxnSpPr>
          <a:stCxn id="2" idx="3"/>
          <a:endCxn id="11" idx="1"/>
        </xdr:cNvCxnSpPr>
      </xdr:nvCxnSpPr>
      <xdr:spPr>
        <a:xfrm>
          <a:off x="1379220" y="3048000"/>
          <a:ext cx="815340" cy="2598420"/>
        </a:xfrm>
        <a:prstGeom prst="bentConnector3">
          <a:avLst>
            <a:gd name="adj1" fmla="val 50000"/>
          </a:avLst>
        </a:prstGeom>
        <a:ln>
          <a:solidFill>
            <a:srgbClr val="00B050"/>
          </a:solidFill>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0</xdr:col>
      <xdr:colOff>643890</xdr:colOff>
      <xdr:row>18</xdr:row>
      <xdr:rowOff>0</xdr:rowOff>
    </xdr:from>
    <xdr:to>
      <xdr:col>1</xdr:col>
      <xdr:colOff>1325880</xdr:colOff>
      <xdr:row>22</xdr:row>
      <xdr:rowOff>99060</xdr:rowOff>
    </xdr:to>
    <xdr:cxnSp macro="">
      <xdr:nvCxnSpPr>
        <xdr:cNvPr id="1113" name="Conector: angular 1112">
          <a:extLst>
            <a:ext uri="{FF2B5EF4-FFF2-40B4-BE49-F238E27FC236}">
              <a16:creationId xmlns:a16="http://schemas.microsoft.com/office/drawing/2014/main" id="{0EDCF376-9C81-46CC-AA58-F5AC37AFB74E}"/>
            </a:ext>
          </a:extLst>
        </xdr:cNvPr>
        <xdr:cNvCxnSpPr/>
      </xdr:nvCxnSpPr>
      <xdr:spPr>
        <a:xfrm rot="16200000" flipH="1">
          <a:off x="965835" y="2992755"/>
          <a:ext cx="830580" cy="1474470"/>
        </a:xfrm>
        <a:prstGeom prst="bentConnector2">
          <a:avLst/>
        </a:prstGeom>
        <a:ln>
          <a:solidFill>
            <a:srgbClr val="00B050"/>
          </a:solidFill>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18</xdr:col>
      <xdr:colOff>525780</xdr:colOff>
      <xdr:row>3</xdr:row>
      <xdr:rowOff>167640</xdr:rowOff>
    </xdr:from>
    <xdr:to>
      <xdr:col>24</xdr:col>
      <xdr:colOff>3810</xdr:colOff>
      <xdr:row>7</xdr:row>
      <xdr:rowOff>129540</xdr:rowOff>
    </xdr:to>
    <xdr:cxnSp macro="">
      <xdr:nvCxnSpPr>
        <xdr:cNvPr id="1132" name="Conector: angular 1131">
          <a:extLst>
            <a:ext uri="{FF2B5EF4-FFF2-40B4-BE49-F238E27FC236}">
              <a16:creationId xmlns:a16="http://schemas.microsoft.com/office/drawing/2014/main" id="{4E5F9045-C415-4B5C-B4A0-95237B50255D}"/>
            </a:ext>
          </a:extLst>
        </xdr:cNvPr>
        <xdr:cNvCxnSpPr>
          <a:stCxn id="12" idx="0"/>
          <a:endCxn id="17" idx="3"/>
        </xdr:cNvCxnSpPr>
      </xdr:nvCxnSpPr>
      <xdr:spPr>
        <a:xfrm rot="16200000" flipV="1">
          <a:off x="17139285" y="-1045845"/>
          <a:ext cx="708660" cy="4232910"/>
        </a:xfrm>
        <a:prstGeom prst="bentConnector2">
          <a:avLst/>
        </a:prstGeom>
        <a:ln>
          <a:solidFill>
            <a:srgbClr val="00B050"/>
          </a:solidFill>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0</xdr:col>
      <xdr:colOff>632460</xdr:colOff>
      <xdr:row>22</xdr:row>
      <xdr:rowOff>121920</xdr:rowOff>
    </xdr:from>
    <xdr:to>
      <xdr:col>1</xdr:col>
      <xdr:colOff>518160</xdr:colOff>
      <xdr:row>25</xdr:row>
      <xdr:rowOff>7620</xdr:rowOff>
    </xdr:to>
    <xdr:sp macro="" textlink="">
      <xdr:nvSpPr>
        <xdr:cNvPr id="1135" name="CuadroTexto 1134">
          <a:extLst>
            <a:ext uri="{FF2B5EF4-FFF2-40B4-BE49-F238E27FC236}">
              <a16:creationId xmlns:a16="http://schemas.microsoft.com/office/drawing/2014/main" id="{0B0793CA-3DDF-44EC-B582-31C6781B76BA}"/>
            </a:ext>
          </a:extLst>
        </xdr:cNvPr>
        <xdr:cNvSpPr txBox="1"/>
      </xdr:nvSpPr>
      <xdr:spPr>
        <a:xfrm>
          <a:off x="632460" y="4168140"/>
          <a:ext cx="67818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100"/>
            <a:t>Only 70 bar Case</a:t>
          </a:r>
        </a:p>
      </xdr:txBody>
    </xdr:sp>
    <xdr:clientData/>
  </xdr:twoCellAnchor>
  <xdr:twoCellAnchor>
    <xdr:from>
      <xdr:col>3</xdr:col>
      <xdr:colOff>525780</xdr:colOff>
      <xdr:row>15</xdr:row>
      <xdr:rowOff>129540</xdr:rowOff>
    </xdr:from>
    <xdr:to>
      <xdr:col>5</xdr:col>
      <xdr:colOff>502920</xdr:colOff>
      <xdr:row>19</xdr:row>
      <xdr:rowOff>152400</xdr:rowOff>
    </xdr:to>
    <xdr:sp macro="" textlink="">
      <xdr:nvSpPr>
        <xdr:cNvPr id="1136" name="Rectángulo: esquinas redondeadas 1135">
          <a:extLst>
            <a:ext uri="{FF2B5EF4-FFF2-40B4-BE49-F238E27FC236}">
              <a16:creationId xmlns:a16="http://schemas.microsoft.com/office/drawing/2014/main" id="{CB42D352-5BB8-49AB-B3E1-E0594D649683}"/>
            </a:ext>
          </a:extLst>
        </xdr:cNvPr>
        <xdr:cNvSpPr/>
      </xdr:nvSpPr>
      <xdr:spPr>
        <a:xfrm>
          <a:off x="3489960" y="2895600"/>
          <a:ext cx="1562100" cy="754380"/>
        </a:xfrm>
        <a:prstGeom prst="round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t>H2 Pressure Reducer Valve</a:t>
          </a:r>
        </a:p>
        <a:p>
          <a:pPr algn="ctr"/>
          <a:r>
            <a:rPr lang="es-CL" sz="1100"/>
            <a:t>(35-70-140 bar)</a:t>
          </a:r>
        </a:p>
      </xdr:txBody>
    </xdr:sp>
    <xdr:clientData/>
  </xdr:twoCellAnchor>
  <xdr:twoCellAnchor>
    <xdr:from>
      <xdr:col>4</xdr:col>
      <xdr:colOff>0</xdr:colOff>
      <xdr:row>19</xdr:row>
      <xdr:rowOff>152400</xdr:rowOff>
    </xdr:from>
    <xdr:to>
      <xdr:col>4</xdr:col>
      <xdr:colOff>514350</xdr:colOff>
      <xdr:row>21</xdr:row>
      <xdr:rowOff>144780</xdr:rowOff>
    </xdr:to>
    <xdr:cxnSp macro="">
      <xdr:nvCxnSpPr>
        <xdr:cNvPr id="1148" name="Conector: angular 1147">
          <a:extLst>
            <a:ext uri="{FF2B5EF4-FFF2-40B4-BE49-F238E27FC236}">
              <a16:creationId xmlns:a16="http://schemas.microsoft.com/office/drawing/2014/main" id="{9B26C597-28C2-4386-9608-455E83EC7832}"/>
            </a:ext>
          </a:extLst>
        </xdr:cNvPr>
        <xdr:cNvCxnSpPr>
          <a:endCxn id="1136" idx="2"/>
        </xdr:cNvCxnSpPr>
      </xdr:nvCxnSpPr>
      <xdr:spPr>
        <a:xfrm flipV="1">
          <a:off x="3756660" y="3649980"/>
          <a:ext cx="514350" cy="358140"/>
        </a:xfrm>
        <a:prstGeom prst="bentConnector2">
          <a:avLst/>
        </a:prstGeom>
        <a:ln>
          <a:solidFill>
            <a:srgbClr val="00B050"/>
          </a:solidFill>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788670</xdr:colOff>
      <xdr:row>13</xdr:row>
      <xdr:rowOff>45720</xdr:rowOff>
    </xdr:from>
    <xdr:to>
      <xdr:col>5</xdr:col>
      <xdr:colOff>182880</xdr:colOff>
      <xdr:row>15</xdr:row>
      <xdr:rowOff>121920</xdr:rowOff>
    </xdr:to>
    <xdr:cxnSp macro="">
      <xdr:nvCxnSpPr>
        <xdr:cNvPr id="1151" name="Conector: angular 1150">
          <a:extLst>
            <a:ext uri="{FF2B5EF4-FFF2-40B4-BE49-F238E27FC236}">
              <a16:creationId xmlns:a16="http://schemas.microsoft.com/office/drawing/2014/main" id="{F963417B-EF09-4F40-86DA-1ACC82092E1E}"/>
            </a:ext>
          </a:extLst>
        </xdr:cNvPr>
        <xdr:cNvCxnSpPr/>
      </xdr:nvCxnSpPr>
      <xdr:spPr>
        <a:xfrm rot="5400000" flipH="1" flipV="1">
          <a:off x="4417695" y="2573655"/>
          <a:ext cx="441960" cy="186690"/>
        </a:xfrm>
        <a:prstGeom prst="bentConnector3">
          <a:avLst>
            <a:gd name="adj1" fmla="val 50000"/>
          </a:avLst>
        </a:prstGeom>
        <a:ln>
          <a:solidFill>
            <a:srgbClr val="00B050"/>
          </a:solidFill>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14</xdr:col>
      <xdr:colOff>7620</xdr:colOff>
      <xdr:row>12</xdr:row>
      <xdr:rowOff>175260</xdr:rowOff>
    </xdr:from>
    <xdr:to>
      <xdr:col>23</xdr:col>
      <xdr:colOff>0</xdr:colOff>
      <xdr:row>15</xdr:row>
      <xdr:rowOff>22860</xdr:rowOff>
    </xdr:to>
    <xdr:cxnSp macro="">
      <xdr:nvCxnSpPr>
        <xdr:cNvPr id="1166" name="Conector: angular 1165">
          <a:extLst>
            <a:ext uri="{FF2B5EF4-FFF2-40B4-BE49-F238E27FC236}">
              <a16:creationId xmlns:a16="http://schemas.microsoft.com/office/drawing/2014/main" id="{163CBF4E-49DA-4A22-B4A8-B8B5B3B00FBE}"/>
            </a:ext>
          </a:extLst>
        </xdr:cNvPr>
        <xdr:cNvCxnSpPr>
          <a:stCxn id="13" idx="1"/>
          <a:endCxn id="6" idx="0"/>
        </xdr:cNvCxnSpPr>
      </xdr:nvCxnSpPr>
      <xdr:spPr>
        <a:xfrm rot="10800000" flipV="1">
          <a:off x="11689080" y="2392680"/>
          <a:ext cx="7124700" cy="396240"/>
        </a:xfrm>
        <a:prstGeom prst="bentConnector2">
          <a:avLst/>
        </a:prstGeom>
        <a:ln>
          <a:solidFill>
            <a:srgbClr val="00B050"/>
          </a:solidFill>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22860</xdr:colOff>
      <xdr:row>7</xdr:row>
      <xdr:rowOff>38100</xdr:rowOff>
    </xdr:from>
    <xdr:to>
      <xdr:col>3</xdr:col>
      <xdr:colOff>579120</xdr:colOff>
      <xdr:row>8</xdr:row>
      <xdr:rowOff>121920</xdr:rowOff>
    </xdr:to>
    <xdr:sp macro="" textlink="">
      <xdr:nvSpPr>
        <xdr:cNvPr id="1185" name="CuadroTexto 1184">
          <a:extLst>
            <a:ext uri="{FF2B5EF4-FFF2-40B4-BE49-F238E27FC236}">
              <a16:creationId xmlns:a16="http://schemas.microsoft.com/office/drawing/2014/main" id="{001FCFF6-97C0-4CD8-B760-6AC1BC50D101}"/>
            </a:ext>
          </a:extLst>
        </xdr:cNvPr>
        <xdr:cNvSpPr txBox="1"/>
      </xdr:nvSpPr>
      <xdr:spPr>
        <a:xfrm>
          <a:off x="2987040" y="1333500"/>
          <a:ext cx="55626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100"/>
            <a:t>Losses</a:t>
          </a:r>
        </a:p>
      </xdr:txBody>
    </xdr:sp>
    <xdr:clientData/>
  </xdr:twoCellAnchor>
  <xdr:twoCellAnchor>
    <xdr:from>
      <xdr:col>4</xdr:col>
      <xdr:colOff>99060</xdr:colOff>
      <xdr:row>10</xdr:row>
      <xdr:rowOff>38100</xdr:rowOff>
    </xdr:from>
    <xdr:to>
      <xdr:col>4</xdr:col>
      <xdr:colOff>655320</xdr:colOff>
      <xdr:row>11</xdr:row>
      <xdr:rowOff>121920</xdr:rowOff>
    </xdr:to>
    <xdr:sp macro="" textlink="">
      <xdr:nvSpPr>
        <xdr:cNvPr id="1186" name="CuadroTexto 1185">
          <a:extLst>
            <a:ext uri="{FF2B5EF4-FFF2-40B4-BE49-F238E27FC236}">
              <a16:creationId xmlns:a16="http://schemas.microsoft.com/office/drawing/2014/main" id="{454F2919-E936-40F0-A5CD-F99E0629AB70}"/>
            </a:ext>
          </a:extLst>
        </xdr:cNvPr>
        <xdr:cNvSpPr txBox="1"/>
      </xdr:nvSpPr>
      <xdr:spPr>
        <a:xfrm>
          <a:off x="3855720" y="1889760"/>
          <a:ext cx="55626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100"/>
            <a:t>Losses</a:t>
          </a:r>
        </a:p>
      </xdr:txBody>
    </xdr:sp>
    <xdr:clientData/>
  </xdr:twoCellAnchor>
  <xdr:twoCellAnchor>
    <xdr:from>
      <xdr:col>2</xdr:col>
      <xdr:colOff>220980</xdr:colOff>
      <xdr:row>15</xdr:row>
      <xdr:rowOff>30480</xdr:rowOff>
    </xdr:from>
    <xdr:to>
      <xdr:col>2</xdr:col>
      <xdr:colOff>777240</xdr:colOff>
      <xdr:row>16</xdr:row>
      <xdr:rowOff>114300</xdr:rowOff>
    </xdr:to>
    <xdr:sp macro="" textlink="">
      <xdr:nvSpPr>
        <xdr:cNvPr id="1187" name="CuadroTexto 1186">
          <a:extLst>
            <a:ext uri="{FF2B5EF4-FFF2-40B4-BE49-F238E27FC236}">
              <a16:creationId xmlns:a16="http://schemas.microsoft.com/office/drawing/2014/main" id="{3EAC3626-0A6F-4860-91B3-3AB6E79DE69D}"/>
            </a:ext>
          </a:extLst>
        </xdr:cNvPr>
        <xdr:cNvSpPr txBox="1"/>
      </xdr:nvSpPr>
      <xdr:spPr>
        <a:xfrm>
          <a:off x="2392680" y="2796540"/>
          <a:ext cx="55626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100"/>
            <a:t>Losses</a:t>
          </a:r>
        </a:p>
      </xdr:txBody>
    </xdr:sp>
    <xdr:clientData/>
  </xdr:twoCellAnchor>
  <xdr:twoCellAnchor>
    <xdr:from>
      <xdr:col>13</xdr:col>
      <xdr:colOff>144780</xdr:colOff>
      <xdr:row>26</xdr:row>
      <xdr:rowOff>45720</xdr:rowOff>
    </xdr:from>
    <xdr:to>
      <xdr:col>13</xdr:col>
      <xdr:colOff>701040</xdr:colOff>
      <xdr:row>27</xdr:row>
      <xdr:rowOff>129540</xdr:rowOff>
    </xdr:to>
    <xdr:sp macro="" textlink="">
      <xdr:nvSpPr>
        <xdr:cNvPr id="1188" name="CuadroTexto 1187">
          <a:extLst>
            <a:ext uri="{FF2B5EF4-FFF2-40B4-BE49-F238E27FC236}">
              <a16:creationId xmlns:a16="http://schemas.microsoft.com/office/drawing/2014/main" id="{0579554F-7875-4811-BF58-00647EDE025F}"/>
            </a:ext>
          </a:extLst>
        </xdr:cNvPr>
        <xdr:cNvSpPr txBox="1"/>
      </xdr:nvSpPr>
      <xdr:spPr>
        <a:xfrm>
          <a:off x="11033760" y="4823460"/>
          <a:ext cx="55626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100"/>
            <a:t>Losses</a:t>
          </a:r>
        </a:p>
      </xdr:txBody>
    </xdr:sp>
    <xdr:clientData/>
  </xdr:twoCellAnchor>
  <xdr:twoCellAnchor>
    <xdr:from>
      <xdr:col>7</xdr:col>
      <xdr:colOff>30480</xdr:colOff>
      <xdr:row>32</xdr:row>
      <xdr:rowOff>22860</xdr:rowOff>
    </xdr:from>
    <xdr:to>
      <xdr:col>7</xdr:col>
      <xdr:colOff>655320</xdr:colOff>
      <xdr:row>33</xdr:row>
      <xdr:rowOff>106680</xdr:rowOff>
    </xdr:to>
    <xdr:sp macro="" textlink="">
      <xdr:nvSpPr>
        <xdr:cNvPr id="1189" name="CuadroTexto 1188">
          <a:extLst>
            <a:ext uri="{FF2B5EF4-FFF2-40B4-BE49-F238E27FC236}">
              <a16:creationId xmlns:a16="http://schemas.microsoft.com/office/drawing/2014/main" id="{C6B76543-CDC7-4CD6-878E-9F58E255ACE4}"/>
            </a:ext>
          </a:extLst>
        </xdr:cNvPr>
        <xdr:cNvSpPr txBox="1"/>
      </xdr:nvSpPr>
      <xdr:spPr>
        <a:xfrm>
          <a:off x="6164580" y="5897880"/>
          <a:ext cx="62484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100"/>
            <a:t>Boil Off</a:t>
          </a:r>
        </a:p>
      </xdr:txBody>
    </xdr:sp>
    <xdr:clientData/>
  </xdr:twoCellAnchor>
  <xdr:twoCellAnchor>
    <xdr:from>
      <xdr:col>20</xdr:col>
      <xdr:colOff>167640</xdr:colOff>
      <xdr:row>20</xdr:row>
      <xdr:rowOff>68580</xdr:rowOff>
    </xdr:from>
    <xdr:to>
      <xdr:col>21</xdr:col>
      <xdr:colOff>0</xdr:colOff>
      <xdr:row>21</xdr:row>
      <xdr:rowOff>152400</xdr:rowOff>
    </xdr:to>
    <xdr:sp macro="" textlink="">
      <xdr:nvSpPr>
        <xdr:cNvPr id="1190" name="CuadroTexto 1189">
          <a:extLst>
            <a:ext uri="{FF2B5EF4-FFF2-40B4-BE49-F238E27FC236}">
              <a16:creationId xmlns:a16="http://schemas.microsoft.com/office/drawing/2014/main" id="{C5DEBAA0-3171-4DF8-BFA7-AAD71B1C8404}"/>
            </a:ext>
          </a:extLst>
        </xdr:cNvPr>
        <xdr:cNvSpPr txBox="1"/>
      </xdr:nvSpPr>
      <xdr:spPr>
        <a:xfrm>
          <a:off x="16603980" y="3749040"/>
          <a:ext cx="62484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100"/>
            <a:t>Boil Off</a:t>
          </a:r>
        </a:p>
      </xdr:txBody>
    </xdr:sp>
    <xdr:clientData/>
  </xdr:twoCellAnchor>
  <xdr:twoCellAnchor>
    <xdr:from>
      <xdr:col>7</xdr:col>
      <xdr:colOff>15240</xdr:colOff>
      <xdr:row>19</xdr:row>
      <xdr:rowOff>137160</xdr:rowOff>
    </xdr:from>
    <xdr:to>
      <xdr:col>7</xdr:col>
      <xdr:colOff>762000</xdr:colOff>
      <xdr:row>22</xdr:row>
      <xdr:rowOff>38100</xdr:rowOff>
    </xdr:to>
    <xdr:sp macro="" textlink="">
      <xdr:nvSpPr>
        <xdr:cNvPr id="1191" name="CuadroTexto 1190">
          <a:extLst>
            <a:ext uri="{FF2B5EF4-FFF2-40B4-BE49-F238E27FC236}">
              <a16:creationId xmlns:a16="http://schemas.microsoft.com/office/drawing/2014/main" id="{B78DF631-2D18-44C6-8E5D-0C961C85BFD5}"/>
            </a:ext>
          </a:extLst>
        </xdr:cNvPr>
        <xdr:cNvSpPr txBox="1"/>
      </xdr:nvSpPr>
      <xdr:spPr>
        <a:xfrm>
          <a:off x="6149340" y="3634740"/>
          <a:ext cx="746760" cy="4495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100"/>
            <a:t>Electric</a:t>
          </a:r>
          <a:r>
            <a:rPr lang="es-CL" sz="1100" baseline="0"/>
            <a:t> Recovery</a:t>
          </a:r>
          <a:endParaRPr lang="es-CL" sz="1100"/>
        </a:p>
      </xdr:txBody>
    </xdr:sp>
    <xdr:clientData/>
  </xdr:twoCellAnchor>
  <xdr:twoCellAnchor>
    <xdr:from>
      <xdr:col>14</xdr:col>
      <xdr:colOff>381000</xdr:colOff>
      <xdr:row>6</xdr:row>
      <xdr:rowOff>99060</xdr:rowOff>
    </xdr:from>
    <xdr:to>
      <xdr:col>15</xdr:col>
      <xdr:colOff>335280</xdr:colOff>
      <xdr:row>8</xdr:row>
      <xdr:rowOff>182880</xdr:rowOff>
    </xdr:to>
    <xdr:sp macro="" textlink="">
      <xdr:nvSpPr>
        <xdr:cNvPr id="1192" name="CuadroTexto 1191">
          <a:extLst>
            <a:ext uri="{FF2B5EF4-FFF2-40B4-BE49-F238E27FC236}">
              <a16:creationId xmlns:a16="http://schemas.microsoft.com/office/drawing/2014/main" id="{61D9696B-36CE-4344-B63A-8DD65721C249}"/>
            </a:ext>
          </a:extLst>
        </xdr:cNvPr>
        <xdr:cNvSpPr txBox="1"/>
      </xdr:nvSpPr>
      <xdr:spPr>
        <a:xfrm>
          <a:off x="12062460" y="1211580"/>
          <a:ext cx="746760" cy="4495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100"/>
            <a:t>Electric</a:t>
          </a:r>
          <a:r>
            <a:rPr lang="es-CL" sz="1100" baseline="0"/>
            <a:t> Recovery</a:t>
          </a:r>
          <a:endParaRPr lang="es-CL" sz="1100"/>
        </a:p>
      </xdr:txBody>
    </xdr:sp>
    <xdr:clientData/>
  </xdr:twoCellAnchor>
  <xdr:twoCellAnchor>
    <xdr:from>
      <xdr:col>2</xdr:col>
      <xdr:colOff>259080</xdr:colOff>
      <xdr:row>15</xdr:row>
      <xdr:rowOff>60960</xdr:rowOff>
    </xdr:from>
    <xdr:to>
      <xdr:col>2</xdr:col>
      <xdr:colOff>266700</xdr:colOff>
      <xdr:row>16</xdr:row>
      <xdr:rowOff>83820</xdr:rowOff>
    </xdr:to>
    <xdr:cxnSp macro="">
      <xdr:nvCxnSpPr>
        <xdr:cNvPr id="1197" name="Conector recto de flecha 1196">
          <a:extLst>
            <a:ext uri="{FF2B5EF4-FFF2-40B4-BE49-F238E27FC236}">
              <a16:creationId xmlns:a16="http://schemas.microsoft.com/office/drawing/2014/main" id="{3873D144-5A95-4454-B95B-6B679EB2694C}"/>
            </a:ext>
          </a:extLst>
        </xdr:cNvPr>
        <xdr:cNvCxnSpPr/>
      </xdr:nvCxnSpPr>
      <xdr:spPr>
        <a:xfrm>
          <a:off x="2430780" y="2827020"/>
          <a:ext cx="7620" cy="205740"/>
        </a:xfrm>
        <a:prstGeom prst="straightConnector1">
          <a:avLst/>
        </a:prstGeom>
        <a:ln>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335280</xdr:colOff>
      <xdr:row>0</xdr:row>
      <xdr:rowOff>22860</xdr:rowOff>
    </xdr:from>
    <xdr:to>
      <xdr:col>28</xdr:col>
      <xdr:colOff>685800</xdr:colOff>
      <xdr:row>39</xdr:row>
      <xdr:rowOff>15240</xdr:rowOff>
    </xdr:to>
    <xdr:sp macro="" textlink="">
      <xdr:nvSpPr>
        <xdr:cNvPr id="1200" name="CuadroTexto 1199">
          <a:extLst>
            <a:ext uri="{FF2B5EF4-FFF2-40B4-BE49-F238E27FC236}">
              <a16:creationId xmlns:a16="http://schemas.microsoft.com/office/drawing/2014/main" id="{B033BE2E-F21C-4877-8D46-887E61978725}"/>
            </a:ext>
          </a:extLst>
        </xdr:cNvPr>
        <xdr:cNvSpPr txBox="1"/>
      </xdr:nvSpPr>
      <xdr:spPr>
        <a:xfrm>
          <a:off x="20734020" y="22860"/>
          <a:ext cx="2727960" cy="7147560"/>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100" b="1" u="sng"/>
            <a:t>Model Assumptions:</a:t>
          </a:r>
        </a:p>
        <a:p>
          <a:r>
            <a:rPr lang="es-CL" sz="1100"/>
            <a:t>1.- The cost of Pressure Reducer Valves are negligible, so the demands of H2 at Atm-5 bar are within the GH-200 bar demand. Also, the cost of 70-140 bar to 35 bar storage and the cost of 200 bar storage to 5-70-140 bar are negligible for the same reason.</a:t>
          </a:r>
        </a:p>
        <a:p>
          <a:r>
            <a:rPr lang="es-CL" sz="1100"/>
            <a:t>2.- </a:t>
          </a:r>
          <a:r>
            <a:rPr lang="es-CL"/>
            <a:t>The movement of H2 from one storage system to another is prohibited, except in the case of transport through pipelines.</a:t>
          </a:r>
        </a:p>
        <a:p>
          <a:r>
            <a:rPr lang="es-CL" sz="1100"/>
            <a:t>3.- </a:t>
          </a:r>
          <a:r>
            <a:rPr lang="es-CL"/>
            <a:t>The reduction of higher pressures to lower ones will be considered infeasible. The only exception is in the use of pipelines and storage.</a:t>
          </a:r>
        </a:p>
        <a:p>
          <a:r>
            <a:rPr lang="es-CL" sz="1100"/>
            <a:t>4.- </a:t>
          </a:r>
          <a:r>
            <a:rPr lang="es-CL"/>
            <a:t>Losses and evaporations are considered direct losses of transported / stored h2. The electrical and / or thermal losses are not in the scheme (check these in the data).</a:t>
          </a:r>
        </a:p>
        <a:p>
          <a:r>
            <a:rPr lang="es-CL" sz="1100"/>
            <a:t>5.- </a:t>
          </a:r>
          <a:r>
            <a:rPr lang="es-CL"/>
            <a:t>The GH-200 demand considers industrial, commercial and residential applications. The GH-350 demand considers heavy vehicles and mining uses. The GH-700 demand considers light vehicle uses.</a:t>
          </a:r>
        </a:p>
        <a:p>
          <a:r>
            <a:rPr lang="es-CL" sz="1100"/>
            <a:t>6.- </a:t>
          </a:r>
          <a:r>
            <a:rPr lang="es-CL"/>
            <a:t>Regasification of LH2 or cracking of NH3 can only be used to supply demand, not to be stored in GH2.</a:t>
          </a:r>
        </a:p>
        <a:p>
          <a:r>
            <a:rPr lang="es-CL" sz="1100"/>
            <a:t>7.- </a:t>
          </a:r>
          <a:r>
            <a:rPr lang="es-CL"/>
            <a:t>The values ​​in parentheses are the possible outlet pressures depending on the year of work, except for the truck fuel.</a:t>
          </a:r>
        </a:p>
        <a:p>
          <a:r>
            <a:rPr lang="es-CL" sz="1100"/>
            <a:t>8.- </a:t>
          </a:r>
          <a:r>
            <a:rPr lang="es-CL"/>
            <a:t>The cost of compressing / liquefying H2 will be assumed the same for all pressures in the respective year for simplification. Electricity consumption does vary with changing pressures / temperature.</a:t>
          </a:r>
        </a:p>
        <a:p>
          <a:r>
            <a:rPr lang="es-CL" sz="1100"/>
            <a:t>9.- </a:t>
          </a:r>
          <a:r>
            <a:rPr lang="es-CL"/>
            <a:t>The truck must go with a trailer.</a:t>
          </a:r>
        </a:p>
        <a:p>
          <a:r>
            <a:rPr lang="es-CL" sz="1100"/>
            <a:t>10.- </a:t>
          </a:r>
          <a:r>
            <a:rPr lang="es-CL"/>
            <a:t>For simplicity, the H2 flow will be considered for transport only. For the production / conversion they are considered for the price calculation but it will be assumed that there is no delay / advance due to each technology (instantaneous).</a:t>
          </a:r>
          <a:endParaRPr lang="es-CL" sz="1100"/>
        </a:p>
      </xdr:txBody>
    </xdr:sp>
    <xdr:clientData/>
  </xdr:twoCellAnchor>
  <xdr:twoCellAnchor>
    <xdr:from>
      <xdr:col>6</xdr:col>
      <xdr:colOff>7620</xdr:colOff>
      <xdr:row>4</xdr:row>
      <xdr:rowOff>144780</xdr:rowOff>
    </xdr:from>
    <xdr:to>
      <xdr:col>6</xdr:col>
      <xdr:colOff>22860</xdr:colOff>
      <xdr:row>10</xdr:row>
      <xdr:rowOff>45720</xdr:rowOff>
    </xdr:to>
    <xdr:cxnSp macro="">
      <xdr:nvCxnSpPr>
        <xdr:cNvPr id="1201" name="Conector recto de flecha 1200">
          <a:extLst>
            <a:ext uri="{FF2B5EF4-FFF2-40B4-BE49-F238E27FC236}">
              <a16:creationId xmlns:a16="http://schemas.microsoft.com/office/drawing/2014/main" id="{22812284-14E2-4E30-A8FF-ABEA5FBCC382}"/>
            </a:ext>
          </a:extLst>
        </xdr:cNvPr>
        <xdr:cNvCxnSpPr>
          <a:stCxn id="4" idx="0"/>
          <a:endCxn id="21" idx="2"/>
        </xdr:cNvCxnSpPr>
      </xdr:nvCxnSpPr>
      <xdr:spPr>
        <a:xfrm flipV="1">
          <a:off x="5349240" y="876300"/>
          <a:ext cx="15240" cy="1021080"/>
        </a:xfrm>
        <a:prstGeom prst="straightConnector1">
          <a:avLst/>
        </a:prstGeom>
        <a:ln>
          <a:solidFill>
            <a:srgbClr val="00B05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342900</xdr:colOff>
      <xdr:row>4</xdr:row>
      <xdr:rowOff>129540</xdr:rowOff>
    </xdr:from>
    <xdr:to>
      <xdr:col>11</xdr:col>
      <xdr:colOff>312420</xdr:colOff>
      <xdr:row>26</xdr:row>
      <xdr:rowOff>30480</xdr:rowOff>
    </xdr:to>
    <xdr:cxnSp macro="">
      <xdr:nvCxnSpPr>
        <xdr:cNvPr id="1218" name="Conector: angular 1217">
          <a:extLst>
            <a:ext uri="{FF2B5EF4-FFF2-40B4-BE49-F238E27FC236}">
              <a16:creationId xmlns:a16="http://schemas.microsoft.com/office/drawing/2014/main" id="{71AB7ABA-6E70-45A4-B6EA-F1E4A9B4A61E}"/>
            </a:ext>
          </a:extLst>
        </xdr:cNvPr>
        <xdr:cNvCxnSpPr/>
      </xdr:nvCxnSpPr>
      <xdr:spPr>
        <a:xfrm rot="16200000" flipV="1">
          <a:off x="5676900" y="868680"/>
          <a:ext cx="3947160" cy="3931920"/>
        </a:xfrm>
        <a:prstGeom prst="bentConnector3">
          <a:avLst>
            <a:gd name="adj1" fmla="val 84363"/>
          </a:avLst>
        </a:prstGeom>
        <a:ln>
          <a:solidFill>
            <a:srgbClr val="00B050"/>
          </a:solidFill>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533400</xdr:colOff>
      <xdr:row>22</xdr:row>
      <xdr:rowOff>114300</xdr:rowOff>
    </xdr:from>
    <xdr:to>
      <xdr:col>11</xdr:col>
      <xdr:colOff>297180</xdr:colOff>
      <xdr:row>24</xdr:row>
      <xdr:rowOff>15240</xdr:rowOff>
    </xdr:to>
    <xdr:sp macro="" textlink="">
      <xdr:nvSpPr>
        <xdr:cNvPr id="1252" name="CuadroTexto 1251">
          <a:extLst>
            <a:ext uri="{FF2B5EF4-FFF2-40B4-BE49-F238E27FC236}">
              <a16:creationId xmlns:a16="http://schemas.microsoft.com/office/drawing/2014/main" id="{2440B6C9-5313-4A14-BFE1-04268D0A5001}"/>
            </a:ext>
          </a:extLst>
        </xdr:cNvPr>
        <xdr:cNvSpPr txBox="1"/>
      </xdr:nvSpPr>
      <xdr:spPr>
        <a:xfrm>
          <a:off x="9044940" y="4160520"/>
          <a:ext cx="55626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100"/>
            <a:t>Losses</a:t>
          </a:r>
        </a:p>
      </xdr:txBody>
    </xdr:sp>
    <xdr:clientData/>
  </xdr:twoCellAnchor>
  <xdr:twoCellAnchor>
    <xdr:from>
      <xdr:col>5</xdr:col>
      <xdr:colOff>327660</xdr:colOff>
      <xdr:row>13</xdr:row>
      <xdr:rowOff>45720</xdr:rowOff>
    </xdr:from>
    <xdr:to>
      <xdr:col>5</xdr:col>
      <xdr:colOff>335280</xdr:colOff>
      <xdr:row>15</xdr:row>
      <xdr:rowOff>106680</xdr:rowOff>
    </xdr:to>
    <xdr:cxnSp macro="">
      <xdr:nvCxnSpPr>
        <xdr:cNvPr id="1253" name="Conector recto de flecha 1252">
          <a:extLst>
            <a:ext uri="{FF2B5EF4-FFF2-40B4-BE49-F238E27FC236}">
              <a16:creationId xmlns:a16="http://schemas.microsoft.com/office/drawing/2014/main" id="{90004BC7-0503-4A3E-91A6-460A52971615}"/>
            </a:ext>
          </a:extLst>
        </xdr:cNvPr>
        <xdr:cNvCxnSpPr/>
      </xdr:nvCxnSpPr>
      <xdr:spPr>
        <a:xfrm>
          <a:off x="4876800" y="2446020"/>
          <a:ext cx="7620" cy="426720"/>
        </a:xfrm>
        <a:prstGeom prst="straightConnector1">
          <a:avLst/>
        </a:prstGeom>
        <a:ln>
          <a:solidFill>
            <a:srgbClr val="00B05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777240</xdr:colOff>
      <xdr:row>19</xdr:row>
      <xdr:rowOff>160020</xdr:rowOff>
    </xdr:from>
    <xdr:to>
      <xdr:col>5</xdr:col>
      <xdr:colOff>182880</xdr:colOff>
      <xdr:row>23</xdr:row>
      <xdr:rowOff>76200</xdr:rowOff>
    </xdr:to>
    <xdr:cxnSp macro="">
      <xdr:nvCxnSpPr>
        <xdr:cNvPr id="1258" name="Conector: angular 1257">
          <a:extLst>
            <a:ext uri="{FF2B5EF4-FFF2-40B4-BE49-F238E27FC236}">
              <a16:creationId xmlns:a16="http://schemas.microsoft.com/office/drawing/2014/main" id="{177F9638-8D93-4FCD-8EC5-1CF02FD7830E}"/>
            </a:ext>
          </a:extLst>
        </xdr:cNvPr>
        <xdr:cNvCxnSpPr/>
      </xdr:nvCxnSpPr>
      <xdr:spPr>
        <a:xfrm rot="10800000" flipV="1">
          <a:off x="3741420" y="3657600"/>
          <a:ext cx="990600" cy="647700"/>
        </a:xfrm>
        <a:prstGeom prst="bentConnector3">
          <a:avLst>
            <a:gd name="adj1" fmla="val 1538"/>
          </a:avLst>
        </a:prstGeom>
        <a:ln>
          <a:solidFill>
            <a:srgbClr val="00B050"/>
          </a:solidFill>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6</xdr:col>
      <xdr:colOff>182880</xdr:colOff>
      <xdr:row>9</xdr:row>
      <xdr:rowOff>160020</xdr:rowOff>
    </xdr:from>
    <xdr:to>
      <xdr:col>16</xdr:col>
      <xdr:colOff>525780</xdr:colOff>
      <xdr:row>14</xdr:row>
      <xdr:rowOff>68580</xdr:rowOff>
    </xdr:to>
    <xdr:cxnSp macro="">
      <xdr:nvCxnSpPr>
        <xdr:cNvPr id="1264" name="Conector: angular 1263">
          <a:extLst>
            <a:ext uri="{FF2B5EF4-FFF2-40B4-BE49-F238E27FC236}">
              <a16:creationId xmlns:a16="http://schemas.microsoft.com/office/drawing/2014/main" id="{E1C71203-E257-487D-A6BE-E57EC84C0FD4}"/>
            </a:ext>
          </a:extLst>
        </xdr:cNvPr>
        <xdr:cNvCxnSpPr/>
      </xdr:nvCxnSpPr>
      <xdr:spPr>
        <a:xfrm flipV="1">
          <a:off x="5524500" y="1828800"/>
          <a:ext cx="8267700" cy="822960"/>
        </a:xfrm>
        <a:prstGeom prst="bentConnector3">
          <a:avLst>
            <a:gd name="adj1" fmla="val 69263"/>
          </a:avLst>
        </a:prstGeom>
        <a:ln>
          <a:solidFill>
            <a:srgbClr val="00B050"/>
          </a:solidFill>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6</xdr:col>
      <xdr:colOff>198120</xdr:colOff>
      <xdr:row>13</xdr:row>
      <xdr:rowOff>38100</xdr:rowOff>
    </xdr:from>
    <xdr:to>
      <xdr:col>6</xdr:col>
      <xdr:colOff>198120</xdr:colOff>
      <xdr:row>14</xdr:row>
      <xdr:rowOff>60960</xdr:rowOff>
    </xdr:to>
    <xdr:cxnSp macro="">
      <xdr:nvCxnSpPr>
        <xdr:cNvPr id="1280" name="Conector recto 1279">
          <a:extLst>
            <a:ext uri="{FF2B5EF4-FFF2-40B4-BE49-F238E27FC236}">
              <a16:creationId xmlns:a16="http://schemas.microsoft.com/office/drawing/2014/main" id="{8938AF88-672D-4D00-BE41-5B09866CD48F}"/>
            </a:ext>
          </a:extLst>
        </xdr:cNvPr>
        <xdr:cNvCxnSpPr/>
      </xdr:nvCxnSpPr>
      <xdr:spPr>
        <a:xfrm flipV="1">
          <a:off x="5539740" y="2438400"/>
          <a:ext cx="0" cy="205740"/>
        </a:xfrm>
        <a:prstGeom prst="line">
          <a:avLst/>
        </a:prstGeom>
        <a:ln>
          <a:solidFill>
            <a:srgbClr val="00B050"/>
          </a:solidFill>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358140</xdr:colOff>
      <xdr:row>19</xdr:row>
      <xdr:rowOff>160020</xdr:rowOff>
    </xdr:from>
    <xdr:to>
      <xdr:col>5</xdr:col>
      <xdr:colOff>7620</xdr:colOff>
      <xdr:row>29</xdr:row>
      <xdr:rowOff>38100</xdr:rowOff>
    </xdr:to>
    <xdr:cxnSp macro="">
      <xdr:nvCxnSpPr>
        <xdr:cNvPr id="84" name="Conector: angular 83">
          <a:extLst>
            <a:ext uri="{FF2B5EF4-FFF2-40B4-BE49-F238E27FC236}">
              <a16:creationId xmlns:a16="http://schemas.microsoft.com/office/drawing/2014/main" id="{0E428D05-1B82-4F4A-A3CD-7E02AD5726AE}"/>
            </a:ext>
          </a:extLst>
        </xdr:cNvPr>
        <xdr:cNvCxnSpPr/>
      </xdr:nvCxnSpPr>
      <xdr:spPr>
        <a:xfrm rot="5400000">
          <a:off x="3086100" y="3893820"/>
          <a:ext cx="1706880" cy="1234440"/>
        </a:xfrm>
        <a:prstGeom prst="bentConnector3">
          <a:avLst>
            <a:gd name="adj1" fmla="val 50000"/>
          </a:avLst>
        </a:prstGeom>
        <a:ln>
          <a:solidFill>
            <a:srgbClr val="00B050"/>
          </a:solidFill>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xdr:col>
      <xdr:colOff>990600</xdr:colOff>
      <xdr:row>18</xdr:row>
      <xdr:rowOff>91440</xdr:rowOff>
    </xdr:from>
    <xdr:to>
      <xdr:col>3</xdr:col>
      <xdr:colOff>510540</xdr:colOff>
      <xdr:row>18</xdr:row>
      <xdr:rowOff>95250</xdr:rowOff>
    </xdr:to>
    <xdr:cxnSp macro="">
      <xdr:nvCxnSpPr>
        <xdr:cNvPr id="89" name="Conector recto de flecha 88">
          <a:extLst>
            <a:ext uri="{FF2B5EF4-FFF2-40B4-BE49-F238E27FC236}">
              <a16:creationId xmlns:a16="http://schemas.microsoft.com/office/drawing/2014/main" id="{5C56EAD6-EB54-4C4A-8C8B-21E2B888BD52}"/>
            </a:ext>
          </a:extLst>
        </xdr:cNvPr>
        <xdr:cNvCxnSpPr/>
      </xdr:nvCxnSpPr>
      <xdr:spPr>
        <a:xfrm flipV="1">
          <a:off x="1783080" y="3406140"/>
          <a:ext cx="1691640" cy="3810"/>
        </a:xfrm>
        <a:prstGeom prst="straightConnector1">
          <a:avLst/>
        </a:prstGeom>
        <a:ln>
          <a:solidFill>
            <a:srgbClr val="00B050"/>
          </a:solidFill>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c3805865d7045794/Documentos/tesis/Datos%20Tecno-Economicos/Datos%20tecno-economic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ydrogen Value Chain"/>
      <sheetName val="Electrolyzer PEM 100 MW"/>
      <sheetName val="Storage"/>
      <sheetName val="Truck+Trailer"/>
      <sheetName val="Pipeline"/>
      <sheetName val="Conversion"/>
      <sheetName val="Re-Electrification"/>
      <sheetName val="revisar"/>
      <sheetName val="Vectors"/>
      <sheetName val="H2 Transport"/>
      <sheetName val="HT_Heat"/>
      <sheetName val="LT_Heat"/>
      <sheetName val="tipeo"/>
      <sheetName val="Hoja1"/>
      <sheetName val="Storage2.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3" Type="http://schemas.openxmlformats.org/officeDocument/2006/relationships/hyperlink" Target="https://ars.els-cdn.com/content/image/1-s2.0-S1364032121008352-mmc1.pdf" TargetMode="External"/><Relationship Id="rId18" Type="http://schemas.openxmlformats.org/officeDocument/2006/relationships/hyperlink" Target="https://ars.els-cdn.com/content/image/1-s2.0-S1364032121008352-mmc1.pdf" TargetMode="External"/><Relationship Id="rId26" Type="http://schemas.openxmlformats.org/officeDocument/2006/relationships/hyperlink" Target="https://aip.scitation.org/doi/pdf/10.1063/1.4984535" TargetMode="External"/><Relationship Id="rId3" Type="http://schemas.openxmlformats.org/officeDocument/2006/relationships/hyperlink" Target="https://ars.els-cdn.com/content/image/1-s2.0-S1364032121008352-mmc1.pdf" TargetMode="External"/><Relationship Id="rId21" Type="http://schemas.openxmlformats.org/officeDocument/2006/relationships/hyperlink" Target="https://ars.els-cdn.com/content/image/1-s2.0-S1364032121008352-mmc1.pdf" TargetMode="External"/><Relationship Id="rId7" Type="http://schemas.openxmlformats.org/officeDocument/2006/relationships/hyperlink" Target="https://www.irena.org/-/media/Files/IRENA/Agency/Publication/2012/RE_Technologies_Cost_Analysis-CSP.pdf" TargetMode="External"/><Relationship Id="rId12" Type="http://schemas.openxmlformats.org/officeDocument/2006/relationships/hyperlink" Target="https://ars.els-cdn.com/content/image/1-s2.0-S1364032121008352-mmc1.pdf" TargetMode="External"/><Relationship Id="rId17" Type="http://schemas.openxmlformats.org/officeDocument/2006/relationships/hyperlink" Target="https://aip.scitation.org/doi/pdf/10.1063/1.4984535" TargetMode="External"/><Relationship Id="rId25" Type="http://schemas.openxmlformats.org/officeDocument/2006/relationships/hyperlink" Target="https://ieeexplore-ieee-org.uchile.idm.oclc.org/document/9282089" TargetMode="External"/><Relationship Id="rId33" Type="http://schemas.openxmlformats.org/officeDocument/2006/relationships/printerSettings" Target="../printerSettings/printerSettings6.bin"/><Relationship Id="rId2" Type="http://schemas.openxmlformats.org/officeDocument/2006/relationships/hyperlink" Target="https://ars.els-cdn.com/content/image/1-s2.0-S0360544221007167-mmc1.pdf" TargetMode="External"/><Relationship Id="rId16" Type="http://schemas.openxmlformats.org/officeDocument/2006/relationships/hyperlink" Target="https://ars.els-cdn.com/content/image/1-s2.0-S1364032121008352-mmc1.pdf" TargetMode="External"/><Relationship Id="rId20" Type="http://schemas.openxmlformats.org/officeDocument/2006/relationships/hyperlink" Target="https://ars.els-cdn.com/content/image/1-s2.0-S1364032121008352-mmc1.pdf" TargetMode="External"/><Relationship Id="rId29" Type="http://schemas.openxmlformats.org/officeDocument/2006/relationships/hyperlink" Target="https://aip.scitation.org/doi/pdf/10.1063/1.4984535" TargetMode="External"/><Relationship Id="rId1" Type="http://schemas.openxmlformats.org/officeDocument/2006/relationships/hyperlink" Target="https://ars.els-cdn.com/content/image/1-s2.0-S1364032121008352-mmc1.pdf" TargetMode="External"/><Relationship Id="rId6" Type="http://schemas.openxmlformats.org/officeDocument/2006/relationships/hyperlink" Target="https://aip.scitation.org/doi/pdf/10.1063/1.4984535" TargetMode="External"/><Relationship Id="rId11" Type="http://schemas.openxmlformats.org/officeDocument/2006/relationships/hyperlink" Target="https://ars.els-cdn.com/content/image/1-s2.0-S1364032121008352-mmc1.pdf" TargetMode="External"/><Relationship Id="rId24" Type="http://schemas.openxmlformats.org/officeDocument/2006/relationships/hyperlink" Target="https://ieeexplore-ieee-org.uchile.idm.oclc.org/document/9282089" TargetMode="External"/><Relationship Id="rId32" Type="http://schemas.openxmlformats.org/officeDocument/2006/relationships/hyperlink" Target="https://www.mdpi.com/1996-1073/14/17/5338" TargetMode="External"/><Relationship Id="rId5" Type="http://schemas.openxmlformats.org/officeDocument/2006/relationships/hyperlink" Target="https://aip.scitation.org/doi/pdf/10.1063/1.4984535" TargetMode="External"/><Relationship Id="rId15" Type="http://schemas.openxmlformats.org/officeDocument/2006/relationships/hyperlink" Target="https://ars.els-cdn.com/content/image/1-s2.0-S1364032121008352-mmc1.pdf" TargetMode="External"/><Relationship Id="rId23" Type="http://schemas.openxmlformats.org/officeDocument/2006/relationships/hyperlink" Target="https://publications.jrc.ec.europa.eu/repository/handle/JRC109894" TargetMode="External"/><Relationship Id="rId28" Type="http://schemas.openxmlformats.org/officeDocument/2006/relationships/hyperlink" Target="https://ars.els-cdn.com/content/image/1-s2.0-S1364032121008352-mmc1.pdf" TargetMode="External"/><Relationship Id="rId10" Type="http://schemas.openxmlformats.org/officeDocument/2006/relationships/hyperlink" Target="https://ars.els-cdn.com/content/image/1-s2.0-S1364032121008352-mmc1.pdf" TargetMode="External"/><Relationship Id="rId19" Type="http://schemas.openxmlformats.org/officeDocument/2006/relationships/hyperlink" Target="https://aip.scitation.org/doi/pdf/10.1063/1.4984535" TargetMode="External"/><Relationship Id="rId31" Type="http://schemas.openxmlformats.org/officeDocument/2006/relationships/hyperlink" Target="https://www.nrel.gov/docs/fy12osti/53066.pdf" TargetMode="External"/><Relationship Id="rId4" Type="http://schemas.openxmlformats.org/officeDocument/2006/relationships/hyperlink" Target="https://ars.els-cdn.com/content/image/1-s2.0-S0360544221007167-mmc1.pdf" TargetMode="External"/><Relationship Id="rId9" Type="http://schemas.openxmlformats.org/officeDocument/2006/relationships/hyperlink" Target="https://ars.els-cdn.com/content/image/1-s2.0-S1364032121008352-mmc1.pdf" TargetMode="External"/><Relationship Id="rId14" Type="http://schemas.openxmlformats.org/officeDocument/2006/relationships/hyperlink" Target="https://aip.scitation.org/doi/pdf/10.1063/1.4984535" TargetMode="External"/><Relationship Id="rId22" Type="http://schemas.openxmlformats.org/officeDocument/2006/relationships/hyperlink" Target="https://aip.scitation.org/doi/pdf/10.1063/1.4984535" TargetMode="External"/><Relationship Id="rId27" Type="http://schemas.openxmlformats.org/officeDocument/2006/relationships/hyperlink" Target="https://ars.els-cdn.com/content/image/1-s2.0-S0360544221007167-mmc1.pdf" TargetMode="External"/><Relationship Id="rId30" Type="http://schemas.openxmlformats.org/officeDocument/2006/relationships/hyperlink" Target="https://ars.els-cdn.com/content/image/1-s2.0-S0360544221007167-mmc1.pdf" TargetMode="External"/><Relationship Id="rId8" Type="http://schemas.openxmlformats.org/officeDocument/2006/relationships/hyperlink" Target="https://www.irena.org/-/media/Files/IRENA/Agency/Publication/2012/RE_Technologies_Cost_Analysis-CSP.pdf"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abstracts.boku.ac.at/download.php?dataset_id=20961&amp;property_id=107" TargetMode="External"/><Relationship Id="rId13" Type="http://schemas.openxmlformats.org/officeDocument/2006/relationships/hyperlink" Target="https://www.hydrogeneurope.eu/wp-content/uploads/2021/04/20201027-SRIA-CHE-final-draft.pdf" TargetMode="External"/><Relationship Id="rId18" Type="http://schemas.openxmlformats.org/officeDocument/2006/relationships/hyperlink" Target="https://abstracts.boku.ac.at/download.php?dataset_id=20961&amp;property_id=107" TargetMode="External"/><Relationship Id="rId26" Type="http://schemas.openxmlformats.org/officeDocument/2006/relationships/hyperlink" Target="https://repository.tudelft.nl/islandora/object/uuid:1225ee00-7bb3-4628-8906-e988a4dde2b8/datastream/OBJ1/download" TargetMode="External"/><Relationship Id="rId3" Type="http://schemas.openxmlformats.org/officeDocument/2006/relationships/hyperlink" Target="https://www.hydrogeneurope.eu/wp-content/uploads/2021/04/20201027-SRIA-CHE-final-draft.pdf" TargetMode="External"/><Relationship Id="rId21" Type="http://schemas.openxmlformats.org/officeDocument/2006/relationships/hyperlink" Target="https://www.titanvehicle.com/product/42-000-liters-Water-tank-trailers-.html" TargetMode="External"/><Relationship Id="rId7" Type="http://schemas.openxmlformats.org/officeDocument/2006/relationships/hyperlink" Target="https://www.hydrogeneurope.eu/wp-content/uploads/2021/04/20201027-SRIA-CHE-final-draft.pdf" TargetMode="External"/><Relationship Id="rId12" Type="http://schemas.openxmlformats.org/officeDocument/2006/relationships/hyperlink" Target="https://core.ac.uk/download/pdf/292476271.pdf" TargetMode="External"/><Relationship Id="rId17" Type="http://schemas.openxmlformats.org/officeDocument/2006/relationships/hyperlink" Target="https://abstracts.boku.ac.at/download.php?dataset_id=20961&amp;property_id=107" TargetMode="External"/><Relationship Id="rId25" Type="http://schemas.openxmlformats.org/officeDocument/2006/relationships/hyperlink" Target="https://www.hydrogen.energy.gov/pdfs/19006_hydrogen_class8_long_haul_truck_targets.pdf" TargetMode="External"/><Relationship Id="rId2" Type="http://schemas.openxmlformats.org/officeDocument/2006/relationships/hyperlink" Target="https://doi.org/10.1016/j.rser.2020.110171" TargetMode="External"/><Relationship Id="rId16" Type="http://schemas.openxmlformats.org/officeDocument/2006/relationships/hyperlink" Target="https://www.osti.gov/servlets/purl/982359" TargetMode="External"/><Relationship Id="rId20" Type="http://schemas.openxmlformats.org/officeDocument/2006/relationships/hyperlink" Target="https://doi.org/10.1016/j.rser.2020.110171" TargetMode="External"/><Relationship Id="rId29" Type="http://schemas.openxmlformats.org/officeDocument/2006/relationships/hyperlink" Target="https://ens.dk/sites/ens.dk/files/Analyser/technology_data_for_energy_transport.pdf" TargetMode="External"/><Relationship Id="rId1" Type="http://schemas.openxmlformats.org/officeDocument/2006/relationships/hyperlink" Target="https://core.ac.uk/download/pdf/292476271.pdf" TargetMode="External"/><Relationship Id="rId6" Type="http://schemas.openxmlformats.org/officeDocument/2006/relationships/hyperlink" Target="https://core.ac.uk/download/pdf/292476271.pdf" TargetMode="External"/><Relationship Id="rId11" Type="http://schemas.openxmlformats.org/officeDocument/2006/relationships/hyperlink" Target="https://www.hydrogeneurope.eu/wp-content/uploads/2021/04/20201027-SRIA-CHE-final-draft.pdf" TargetMode="External"/><Relationship Id="rId24" Type="http://schemas.openxmlformats.org/officeDocument/2006/relationships/hyperlink" Target="https://repository.tudelft.nl/islandora/object/uuid:1225ee00-7bb3-4628-8906-e988a4dde2b8/datastream/OBJ1/download" TargetMode="External"/><Relationship Id="rId5" Type="http://schemas.openxmlformats.org/officeDocument/2006/relationships/hyperlink" Target="https://www.hydrogeneurope.eu/wp-content/uploads/2021/04/20201027-SRIA-CHE-final-draft.pdf" TargetMode="External"/><Relationship Id="rId15" Type="http://schemas.openxmlformats.org/officeDocument/2006/relationships/hyperlink" Target="https://doi.org/10.1016/j.rser.2020.110171" TargetMode="External"/><Relationship Id="rId23" Type="http://schemas.openxmlformats.org/officeDocument/2006/relationships/hyperlink" Target="https://hydrogencouncil.com/wp-content/uploads/2020/01/Path-to-Hydrogen-Competitiveness_Full-Study-1.pdf" TargetMode="External"/><Relationship Id="rId28" Type="http://schemas.openxmlformats.org/officeDocument/2006/relationships/hyperlink" Target="https://www.hydrogen.energy.gov/pdfs/19006_hydrogen_class8_long_haul_truck_targets.pdf" TargetMode="External"/><Relationship Id="rId10" Type="http://schemas.openxmlformats.org/officeDocument/2006/relationships/hyperlink" Target="https://core.ac.uk/download/pdf/292476271.pdf" TargetMode="External"/><Relationship Id="rId19" Type="http://schemas.openxmlformats.org/officeDocument/2006/relationships/hyperlink" Target="https://www.osti.gov/servlets/purl/982359" TargetMode="External"/><Relationship Id="rId4" Type="http://schemas.openxmlformats.org/officeDocument/2006/relationships/hyperlink" Target="https://core.ac.uk/download/pdf/292476271.pdf" TargetMode="External"/><Relationship Id="rId9" Type="http://schemas.openxmlformats.org/officeDocument/2006/relationships/hyperlink" Target="https://www.hydrogeneurope.eu/wp-content/uploads/2021/04/20201027-SRIA-CHE-final-draft.pdf" TargetMode="External"/><Relationship Id="rId14" Type="http://schemas.openxmlformats.org/officeDocument/2006/relationships/hyperlink" Target="https://doi.org/10.1016/j.rser.2020.110171" TargetMode="External"/><Relationship Id="rId22" Type="http://schemas.openxmlformats.org/officeDocument/2006/relationships/hyperlink" Target="https://www.haskelltrucking.com/water-hauling" TargetMode="External"/><Relationship Id="rId27" Type="http://schemas.openxmlformats.org/officeDocument/2006/relationships/hyperlink" Target="https://repository.tudelft.nl/islandora/object/uuid:1225ee00-7bb3-4628-8906-e988a4dde2b8/datastream/OBJ1/download"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ens.dk/sites/ens.dk/files/Analyser/technology_data_for_energy_transport.pdf" TargetMode="External"/><Relationship Id="rId2" Type="http://schemas.openxmlformats.org/officeDocument/2006/relationships/hyperlink" Target="https://ens.dk/sites/ens.dk/files/Analyser/technology_data_for_energy_transport.pdf" TargetMode="External"/><Relationship Id="rId1" Type="http://schemas.openxmlformats.org/officeDocument/2006/relationships/hyperlink" Target="https://ens.dk/sites/ens.dk/files/Analyser/technology_data_for_energy_transport.pdf"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ars.els-cdn.com/content/image/1-s2.0-S1364032121008352-mmc1.pdf" TargetMode="External"/><Relationship Id="rId2" Type="http://schemas.openxmlformats.org/officeDocument/2006/relationships/hyperlink" Target="https://ars.els-cdn.com/content/image/1-s2.0-S0360544221007167-mmc1.pdf" TargetMode="External"/><Relationship Id="rId1" Type="http://schemas.openxmlformats.org/officeDocument/2006/relationships/hyperlink" Target="https://ars.els-cdn.com/content/image/1-s2.0-S1364032121008352-mmc1.pdf" TargetMode="External"/><Relationship Id="rId6" Type="http://schemas.openxmlformats.org/officeDocument/2006/relationships/hyperlink" Target="https://doi.org/10.1016/j.jclepro.2019.03.086" TargetMode="External"/><Relationship Id="rId5" Type="http://schemas.openxmlformats.org/officeDocument/2006/relationships/hyperlink" Target="https://ars.els-cdn.com/content/image/1-s2.0-S1364032121008352-mmc1.pdf" TargetMode="External"/><Relationship Id="rId4" Type="http://schemas.openxmlformats.org/officeDocument/2006/relationships/hyperlink" Target="https://ars.els-cdn.com/content/image/1-s2.0-S0360544221007167-mmc1.pdf"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ars.els-cdn.com/content/image/1-s2.0-S1364032121008352-mmc1.pdf" TargetMode="External"/><Relationship Id="rId2" Type="http://schemas.openxmlformats.org/officeDocument/2006/relationships/hyperlink" Target="https://ars.els-cdn.com/content/image/1-s2.0-S1364032121008352-mmc1.pdf" TargetMode="External"/><Relationship Id="rId1" Type="http://schemas.openxmlformats.org/officeDocument/2006/relationships/hyperlink" Target="https://ars.els-cdn.com/content/image/1-s2.0-S1364032121008352-mmc1.pdf" TargetMode="External"/><Relationship Id="rId4" Type="http://schemas.openxmlformats.org/officeDocument/2006/relationships/hyperlink" Target="https://ars.els-cdn.com/content/image/1-s2.0-S1364032121008352-mmc1.pdf"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s://www.eia.gov/analysis/studies/buildings/dg_storage_chp/pdf/dg_storage_chp.pdf" TargetMode="External"/><Relationship Id="rId13" Type="http://schemas.openxmlformats.org/officeDocument/2006/relationships/hyperlink" Target="https://www.eia.gov/analysis/studies/buildings/dg_storage_chp/pdf/dg_storage_chp.pdf" TargetMode="External"/><Relationship Id="rId18" Type="http://schemas.openxmlformats.org/officeDocument/2006/relationships/hyperlink" Target="https://ens.dk/sites/ens.dk/files/Statistik/technology_data_catalogue_for_el_and_dh_-_0009.pdf" TargetMode="External"/><Relationship Id="rId3" Type="http://schemas.openxmlformats.org/officeDocument/2006/relationships/hyperlink" Target="https://www.irena.org/-/media/Files/IRENA/Agency/Publication/2019/Sep/IRENA_Flexibility_in_CPPs_2019.pdf?la=en&amp;hash=AF60106EA083E492638D8FA9ADF7FD099259F5A1" TargetMode="External"/><Relationship Id="rId21" Type="http://schemas.openxmlformats.org/officeDocument/2006/relationships/hyperlink" Target="https://ens.dk/sites/ens.dk/files/Statistik/technology_data_catalogue_for_el_and_dh_-_0009.pdf" TargetMode="External"/><Relationship Id="rId7" Type="http://schemas.openxmlformats.org/officeDocument/2006/relationships/hyperlink" Target="https://www.mdpi.com/2073-4352/11/7/732" TargetMode="External"/><Relationship Id="rId12" Type="http://schemas.openxmlformats.org/officeDocument/2006/relationships/hyperlink" Target="https://www.mdpi.com/1996-1073/14/17/5338" TargetMode="External"/><Relationship Id="rId17" Type="http://schemas.openxmlformats.org/officeDocument/2006/relationships/hyperlink" Target="https://ens.dk/sites/ens.dk/files/Statistik/technology_data_catalogue_for_el_and_dh_-_0009.pdf" TargetMode="External"/><Relationship Id="rId2" Type="http://schemas.openxmlformats.org/officeDocument/2006/relationships/hyperlink" Target="https://www.irena.org/-/media/Files/IRENA/Agency/Publication/2019/Sep/IRENA_Flexibility_in_CPPs_2019.pdf?la=en&amp;hash=AF60106EA083E492638D8FA9ADF7FD099259F5A1" TargetMode="External"/><Relationship Id="rId16" Type="http://schemas.openxmlformats.org/officeDocument/2006/relationships/hyperlink" Target="https://ens.dk/sites/ens.dk/files/Statistik/technology_data_catalogue_for_el_and_dh_-_0009.pdf" TargetMode="External"/><Relationship Id="rId20" Type="http://schemas.openxmlformats.org/officeDocument/2006/relationships/hyperlink" Target="https://ens.dk/sites/ens.dk/files/Statistik/technology_data_catalogue_for_el_and_dh_-_0009.pdf" TargetMode="External"/><Relationship Id="rId1" Type="http://schemas.openxmlformats.org/officeDocument/2006/relationships/hyperlink" Target="https://www.irena.org/-/media/Files/IRENA/Agency/Publication/2019/Sep/IRENA_Flexibility_in_CPPs_2019.pdf?la=en&amp;hash=AF60106EA083E492638D8FA9ADF7FD099259F5A1" TargetMode="External"/><Relationship Id="rId6" Type="http://schemas.openxmlformats.org/officeDocument/2006/relationships/hyperlink" Target="https://www.eia.gov/analysis/studies/buildings/dg_storage_chp/pdf/dg_storage_chp.pdf" TargetMode="External"/><Relationship Id="rId11" Type="http://schemas.openxmlformats.org/officeDocument/2006/relationships/hyperlink" Target="https://www.mdpi.com/1996-1073/14/17/5338" TargetMode="External"/><Relationship Id="rId5" Type="http://schemas.openxmlformats.org/officeDocument/2006/relationships/hyperlink" Target="https://iea.blob.core.windows.net/assets/e669e0b6-148c-4d5c-816b-a7661301fa96/TechnologyRoadmapHydrogenandFuelCells.pdf" TargetMode="External"/><Relationship Id="rId15" Type="http://schemas.openxmlformats.org/officeDocument/2006/relationships/hyperlink" Target="https://ens.dk/sites/ens.dk/files/Statistik/technology_data_catalogue_for_el_and_dh_-_0009.pdf" TargetMode="External"/><Relationship Id="rId10" Type="http://schemas.openxmlformats.org/officeDocument/2006/relationships/hyperlink" Target="https://www.mdpi.com/1996-1073/14/17/5338" TargetMode="External"/><Relationship Id="rId19" Type="http://schemas.openxmlformats.org/officeDocument/2006/relationships/hyperlink" Target="https://ens.dk/sites/ens.dk/files/Statistik/technology_data_catalogue_for_el_and_dh_-_0009.pdf" TargetMode="External"/><Relationship Id="rId4" Type="http://schemas.openxmlformats.org/officeDocument/2006/relationships/hyperlink" Target="https://www.irena.org/-/media/Files/IRENA/Agency/Publication/2019/Sep/IRENA_Flexibility_in_CPPs_2019.pdf?la=en&amp;hash=AF60106EA083E492638D8FA9ADF7FD099259F5A1" TargetMode="External"/><Relationship Id="rId9" Type="http://schemas.openxmlformats.org/officeDocument/2006/relationships/hyperlink" Target="https://www.mdpi.com/1996-1073/14/17/5338" TargetMode="External"/><Relationship Id="rId14" Type="http://schemas.openxmlformats.org/officeDocument/2006/relationships/hyperlink" Target="https://ens.dk/sites/ens.dk/files/Statistik/technology_data_catalogue_for_el_and_dh_-_0009.pdf" TargetMode="External"/><Relationship Id="rId22" Type="http://schemas.openxmlformats.org/officeDocument/2006/relationships/hyperlink" Target="https://doi.org/10.1016/j.ijhydene.2018.11.122"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aip.scitation.org/doi/pdf/10.1063/1.4984433" TargetMode="External"/><Relationship Id="rId2" Type="http://schemas.openxmlformats.org/officeDocument/2006/relationships/hyperlink" Target="https://bura.brunel.ac.uk/bitstream/2438/20551/1/FullText.pdf" TargetMode="External"/><Relationship Id="rId1" Type="http://schemas.openxmlformats.org/officeDocument/2006/relationships/hyperlink" Target="https://www.mdpi.com/1996-1073/13/23/6173"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ars.els-cdn.com/content/image/1-s2.0-S0959652621004157-mmc1.pdf" TargetMode="External"/><Relationship Id="rId7" Type="http://schemas.openxmlformats.org/officeDocument/2006/relationships/hyperlink" Target="https://ars.els-cdn.com/content/image/1-s2.0-S0360544221007167-mmc1.pdf" TargetMode="External"/><Relationship Id="rId2" Type="http://schemas.openxmlformats.org/officeDocument/2006/relationships/hyperlink" Target="https://ars.els-cdn.com/content/image/1-s2.0-S1364032121008352-mmc1.pdf" TargetMode="External"/><Relationship Id="rId1" Type="http://schemas.openxmlformats.org/officeDocument/2006/relationships/hyperlink" Target="https://ars.els-cdn.com/content/image/1-s2.0-S1364032121008352-mmc1.pdf" TargetMode="External"/><Relationship Id="rId6" Type="http://schemas.openxmlformats.org/officeDocument/2006/relationships/hyperlink" Target="https://ars.els-cdn.com/content/image/1-s2.0-S1364032121008352-mmc1.pdf" TargetMode="External"/><Relationship Id="rId5" Type="http://schemas.openxmlformats.org/officeDocument/2006/relationships/hyperlink" Target="https://ars.els-cdn.com/content/image/1-s2.0-S0360544221007167-mmc1.pdf" TargetMode="External"/><Relationship Id="rId4" Type="http://schemas.openxmlformats.org/officeDocument/2006/relationships/hyperlink" Target="https://ars.els-cdn.com/content/image/1-s2.0-S1364032121008352-mmc1.pdf"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ars.els-cdn.com/content/image/1-s2.0-S0360544221007167-mmc1.pdf" TargetMode="External"/><Relationship Id="rId3" Type="http://schemas.openxmlformats.org/officeDocument/2006/relationships/hyperlink" Target="https://ars.els-cdn.com/content/image/1-s2.0-S1364032121008352-mmc1.pdf" TargetMode="External"/><Relationship Id="rId7" Type="http://schemas.openxmlformats.org/officeDocument/2006/relationships/hyperlink" Target="https://ars.els-cdn.com/content/image/1-s2.0-S1364032121008352-mmc1.pdf" TargetMode="External"/><Relationship Id="rId2" Type="http://schemas.openxmlformats.org/officeDocument/2006/relationships/hyperlink" Target="https://ars.els-cdn.com/content/image/1-s2.0-S0959652621004157-mmc1.pdf" TargetMode="External"/><Relationship Id="rId1" Type="http://schemas.openxmlformats.org/officeDocument/2006/relationships/hyperlink" Target="https://ars.els-cdn.com/content/image/1-s2.0-S1364032121008352-mmc1.pdf" TargetMode="External"/><Relationship Id="rId6" Type="http://schemas.openxmlformats.org/officeDocument/2006/relationships/hyperlink" Target="https://ars.els-cdn.com/content/image/1-s2.0-S0360544221007167-mmc1.pdf" TargetMode="External"/><Relationship Id="rId5" Type="http://schemas.openxmlformats.org/officeDocument/2006/relationships/hyperlink" Target="https://ars.els-cdn.com/content/image/1-s2.0-S1364032121008352-mmc1.pdf" TargetMode="External"/><Relationship Id="rId4" Type="http://schemas.openxmlformats.org/officeDocument/2006/relationships/hyperlink" Target="https://ars.els-cdn.com/content/image/1-s2.0-S0360544221007167-mmc1.pdf" TargetMode="External"/><Relationship Id="rId9" Type="http://schemas.openxmlformats.org/officeDocument/2006/relationships/hyperlink" Target="https://ars.els-cdn.com/content/image/1-s2.0-S1364032121008352-mmc1.pdf" TargetMode="External"/></Relationships>
</file>

<file path=xl/worksheets/_rels/sheet19.xml.rels><?xml version="1.0" encoding="UTF-8" standalone="yes"?>
<Relationships xmlns="http://schemas.openxmlformats.org/package/2006/relationships"><Relationship Id="rId2" Type="http://schemas.openxmlformats.org/officeDocument/2006/relationships/hyperlink" Target="https://ars.els-cdn.com/content/image/1-s2.0-S1364032121008352-mmc1.pdf" TargetMode="External"/><Relationship Id="rId1" Type="http://schemas.openxmlformats.org/officeDocument/2006/relationships/hyperlink" Target="https://ars.els-cdn.com/content/image/1-s2.0-S1364032121008352-mmc1.pdf"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cambioeuro.es/oficial-euro-dolar/" TargetMode="External"/><Relationship Id="rId2" Type="http://schemas.openxmlformats.org/officeDocument/2006/relationships/hyperlink" Target="https://www.dineroeneltiempo.com/euro/" TargetMode="External"/><Relationship Id="rId1" Type="http://schemas.openxmlformats.org/officeDocument/2006/relationships/hyperlink" Target="http://energiaabierta.cl/visualizaciones/conversor-de-unidades/" TargetMode="External"/><Relationship Id="rId5" Type="http://schemas.openxmlformats.org/officeDocument/2006/relationships/printerSettings" Target="../printerSettings/printerSettings1.bin"/><Relationship Id="rId4" Type="http://schemas.openxmlformats.org/officeDocument/2006/relationships/hyperlink" Target="https://apps.automeris.io/wpd/"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https://www.hydrogeneurope.eu/wp-content/uploads/2021/04/20201027-SRIA-CHE-final-draft.pdf" TargetMode="External"/><Relationship Id="rId13" Type="http://schemas.openxmlformats.org/officeDocument/2006/relationships/hyperlink" Target="https://www.researchgate.net/publication/354533154_Energy_analysis_and_surrogate_modeling_for_the_green_methanol_production_under_dynamic_operating_conditions" TargetMode="External"/><Relationship Id="rId18" Type="http://schemas.openxmlformats.org/officeDocument/2006/relationships/hyperlink" Target="https://core.ac.uk/download/pdf/292476271.pdf" TargetMode="External"/><Relationship Id="rId3" Type="http://schemas.openxmlformats.org/officeDocument/2006/relationships/hyperlink" Target="https://doi.org/10.1016/j.apenergy.2020.116170" TargetMode="External"/><Relationship Id="rId21" Type="http://schemas.openxmlformats.org/officeDocument/2006/relationships/hyperlink" Target="https://doi.org/10.1016/j.apenergy.2019.113967" TargetMode="External"/><Relationship Id="rId7" Type="http://schemas.openxmlformats.org/officeDocument/2006/relationships/hyperlink" Target="https://ars.els-cdn.com/content/image/1-s2.0-S1364032121008352-mmc1.pdf" TargetMode="External"/><Relationship Id="rId12" Type="http://schemas.openxmlformats.org/officeDocument/2006/relationships/hyperlink" Target="https://www.idealhy.eu/uploads/documents/IDEALHY_D3-16_Liquefaction_Report_web.pdf" TargetMode="External"/><Relationship Id="rId17" Type="http://schemas.openxmlformats.org/officeDocument/2006/relationships/hyperlink" Target="https://core.ac.uk/download/pdf/292476271.pdf" TargetMode="External"/><Relationship Id="rId25" Type="http://schemas.openxmlformats.org/officeDocument/2006/relationships/printerSettings" Target="../printerSettings/printerSettings4.bin"/><Relationship Id="rId2" Type="http://schemas.openxmlformats.org/officeDocument/2006/relationships/hyperlink" Target="https://doi.org/10.1016/j.apenergy.2020.116170" TargetMode="External"/><Relationship Id="rId16" Type="http://schemas.openxmlformats.org/officeDocument/2006/relationships/hyperlink" Target="https://publications.lib.chalmers.se/records/fulltext/254942/254942.pdf" TargetMode="External"/><Relationship Id="rId20" Type="http://schemas.openxmlformats.org/officeDocument/2006/relationships/hyperlink" Target="https://www.mdpi.com/1996-1073/14/5/1392/pdf" TargetMode="External"/><Relationship Id="rId1" Type="http://schemas.openxmlformats.org/officeDocument/2006/relationships/hyperlink" Target="https://ens.dk/en/our-services/projections-and-models/technology-data/technology-catalogue-transport-energy" TargetMode="External"/><Relationship Id="rId6" Type="http://schemas.openxmlformats.org/officeDocument/2006/relationships/hyperlink" Target="https://www.idealhy.eu/uploads/documents/IDEALHY_D3-16_Liquefaction_Report_web.pdf" TargetMode="External"/><Relationship Id="rId11" Type="http://schemas.openxmlformats.org/officeDocument/2006/relationships/hyperlink" Target="https://www.hydrogen.energy.gov/pdfs/19001_hydrogen_liquefaction_costs.pdf" TargetMode="External"/><Relationship Id="rId24" Type="http://schemas.openxmlformats.org/officeDocument/2006/relationships/hyperlink" Target="https://doi.org/10.1016/B978-0-08-102629-8.00008-6" TargetMode="External"/><Relationship Id="rId5" Type="http://schemas.openxmlformats.org/officeDocument/2006/relationships/hyperlink" Target="https://www.hydrogen.energy.gov/pdfs/19001_hydrogen_liquefaction_costs.pdf" TargetMode="External"/><Relationship Id="rId15" Type="http://schemas.openxmlformats.org/officeDocument/2006/relationships/hyperlink" Target="https://ars.els-cdn.com/content/image/1-s2.0-S1364032121008352-mmc1.pdf" TargetMode="External"/><Relationship Id="rId23" Type="http://schemas.openxmlformats.org/officeDocument/2006/relationships/hyperlink" Target="https://doi.org/10.1016/j.apenergy.2017.05.050" TargetMode="External"/><Relationship Id="rId10" Type="http://schemas.openxmlformats.org/officeDocument/2006/relationships/hyperlink" Target="http://kth.diva-portal.org/smash/get/diva2:1531668/FULLTEXT01.pdf" TargetMode="External"/><Relationship Id="rId19" Type="http://schemas.openxmlformats.org/officeDocument/2006/relationships/hyperlink" Target="https://www.mdpi.com/1996-1073/14/5/1392/pdf" TargetMode="External"/><Relationship Id="rId4" Type="http://schemas.openxmlformats.org/officeDocument/2006/relationships/hyperlink" Target="https://ens.dk/en/our-services/projections-and-models/technology-data/technology-catalogue-transport-energy" TargetMode="External"/><Relationship Id="rId9" Type="http://schemas.openxmlformats.org/officeDocument/2006/relationships/hyperlink" Target="https://ars.els-cdn.com/content/image/1-s2.0-S1364032121008352-mmc1.pdf" TargetMode="External"/><Relationship Id="rId14" Type="http://schemas.openxmlformats.org/officeDocument/2006/relationships/hyperlink" Target="https://www.mdpi.com/1996-1073/14/5/1392/pdf" TargetMode="External"/><Relationship Id="rId22" Type="http://schemas.openxmlformats.org/officeDocument/2006/relationships/hyperlink" Target="https://doi.org/10.1016/j.apenergy.2017.05.050"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ars.els-cdn.com/content/image/1-s2.0-S1364032121008352-mmc1.pdf" TargetMode="External"/><Relationship Id="rId7" Type="http://schemas.openxmlformats.org/officeDocument/2006/relationships/hyperlink" Target="https://ars.els-cdn.com/content/image/1-s2.0-S1364032121008352-mmc1.pdf" TargetMode="External"/><Relationship Id="rId2" Type="http://schemas.openxmlformats.org/officeDocument/2006/relationships/hyperlink" Target="https://ars.els-cdn.com/content/image/1-s2.0-S1364032121008352-mmc1.pdf" TargetMode="External"/><Relationship Id="rId1" Type="http://schemas.openxmlformats.org/officeDocument/2006/relationships/hyperlink" Target="https://ars.els-cdn.com/content/image/1-s2.0-S1364032121008352-mmc1.pdf" TargetMode="External"/><Relationship Id="rId6" Type="http://schemas.openxmlformats.org/officeDocument/2006/relationships/hyperlink" Target="https://ars.els-cdn.com/content/image/1-s2.0-S1364032121008352-mmc1.pdf" TargetMode="External"/><Relationship Id="rId5" Type="http://schemas.openxmlformats.org/officeDocument/2006/relationships/hyperlink" Target="https://ars.els-cdn.com/content/image/1-s2.0-S1364032121008352-mmc1.pdf" TargetMode="External"/><Relationship Id="rId4" Type="http://schemas.openxmlformats.org/officeDocument/2006/relationships/hyperlink" Target="https://ars.els-cdn.com/content/image/1-s2.0-S1364032121008352-mmc1.pdf"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doi.org/10.1016/j.apenergy.2020.114780" TargetMode="External"/><Relationship Id="rId18" Type="http://schemas.openxmlformats.org/officeDocument/2006/relationships/hyperlink" Target="https://www.irena.org/-/media/files/irena/agency/publication/2018/sep/irena_hydrogen_from_renewable_power_2018.pdf" TargetMode="External"/><Relationship Id="rId26" Type="http://schemas.openxmlformats.org/officeDocument/2006/relationships/hyperlink" Target="https://op.europa.eu/en/publication-detail/-/publication/7e4afa7d-d077-11ea-adf7-01aa75ed71a1/language-en" TargetMode="External"/><Relationship Id="rId39" Type="http://schemas.openxmlformats.org/officeDocument/2006/relationships/hyperlink" Target="https://www.fch.europa.eu/sites/default/files/P2H_Full_Study_FCHJU.pdf" TargetMode="External"/><Relationship Id="rId21" Type="http://schemas.openxmlformats.org/officeDocument/2006/relationships/hyperlink" Target="https://www.irena.org/-/media/files/irena/agency/publication/2018/sep/irena_hydrogen_from_renewable_power_2018.pdf" TargetMode="External"/><Relationship Id="rId34" Type="http://schemas.openxmlformats.org/officeDocument/2006/relationships/hyperlink" Target="https://www.irena.org/-/media/files/irena/agency/publication/2018/sep/irena_hydrogen_from_renewable_power_2018.pdf" TargetMode="External"/><Relationship Id="rId42" Type="http://schemas.openxmlformats.org/officeDocument/2006/relationships/hyperlink" Target="https://www.fch.europa.eu/sites/default/files/P2H_Full_Study_FCHJU.pdf" TargetMode="External"/><Relationship Id="rId47" Type="http://schemas.openxmlformats.org/officeDocument/2006/relationships/hyperlink" Target="https://www.irena.org/publications/2020/Dec/Green-hydrogen-cost-reduction" TargetMode="External"/><Relationship Id="rId50" Type="http://schemas.openxmlformats.org/officeDocument/2006/relationships/hyperlink" Target="https://www.hydrogeneurope.eu/wp-content/uploads/2021/04/20201027-SRIA-CHE-final-draft.pdf" TargetMode="External"/><Relationship Id="rId7" Type="http://schemas.openxmlformats.org/officeDocument/2006/relationships/hyperlink" Target="https://www.fch.europa.eu/sites/default/files/P2H_Full_Study_FCHJU.pdf" TargetMode="External"/><Relationship Id="rId2" Type="http://schemas.openxmlformats.org/officeDocument/2006/relationships/hyperlink" Target="https://op.europa.eu/en/publication-detail/-/publication/7e4afa7d-d077-11ea-adf7-01aa75ed71a1/language-en" TargetMode="External"/><Relationship Id="rId16" Type="http://schemas.openxmlformats.org/officeDocument/2006/relationships/hyperlink" Target="https://www.fch.europa.eu/sites/default/files/P2H_Full_Study_FCHJU.pdf" TargetMode="External"/><Relationship Id="rId29" Type="http://schemas.openxmlformats.org/officeDocument/2006/relationships/hyperlink" Target="https://www.irena.org/publications/2020/Dec/Green-hydrogen-cost-reduction" TargetMode="External"/><Relationship Id="rId11" Type="http://schemas.openxmlformats.org/officeDocument/2006/relationships/hyperlink" Target="https://op.europa.eu/en/publication-detail/-/publication/7e4afa7d-d077-11ea-adf7-01aa75ed71a1/language-en" TargetMode="External"/><Relationship Id="rId24" Type="http://schemas.openxmlformats.org/officeDocument/2006/relationships/hyperlink" Target="https://www.irena.org/publications/2020/Dec/Green-hydrogen-cost-reduction" TargetMode="External"/><Relationship Id="rId32" Type="http://schemas.openxmlformats.org/officeDocument/2006/relationships/hyperlink" Target="https://www.irena.org/publications/2020/Dec/Green-hydrogen-cost-reduction" TargetMode="External"/><Relationship Id="rId37" Type="http://schemas.openxmlformats.org/officeDocument/2006/relationships/hyperlink" Target="https://doi.org/10.1016/j.apenergy.2020.114780" TargetMode="External"/><Relationship Id="rId40" Type="http://schemas.openxmlformats.org/officeDocument/2006/relationships/hyperlink" Target="https://www.irena.org/publications/2020/Dec/Green-hydrogen-cost-reduction" TargetMode="External"/><Relationship Id="rId45" Type="http://schemas.openxmlformats.org/officeDocument/2006/relationships/hyperlink" Target="https://www.irena.org/-/media/files/irena/agency/publication/2018/sep/irena_hydrogen_from_renewable_power_2018.pdf" TargetMode="External"/><Relationship Id="rId53" Type="http://schemas.openxmlformats.org/officeDocument/2006/relationships/hyperlink" Target="https://ens.dk/sites/ens.dk/files/Analyser/technology_data_for_renewable_fuels.pdf" TargetMode="External"/><Relationship Id="rId5" Type="http://schemas.openxmlformats.org/officeDocument/2006/relationships/hyperlink" Target="https://www.irena.org/publications/2020/Dec/Green-hydrogen-cost-reduction" TargetMode="External"/><Relationship Id="rId10" Type="http://schemas.openxmlformats.org/officeDocument/2006/relationships/hyperlink" Target="https://www.irena.org/-/media/files/irena/agency/publication/2018/sep/irena_hydrogen_from_renewable_power_2018.pdf" TargetMode="External"/><Relationship Id="rId19" Type="http://schemas.openxmlformats.org/officeDocument/2006/relationships/hyperlink" Target="https://www.fch.europa.eu/sites/default/files/P2H_Full_Study_FCHJU.pdf" TargetMode="External"/><Relationship Id="rId31" Type="http://schemas.openxmlformats.org/officeDocument/2006/relationships/hyperlink" Target="https://www.fch.europa.eu/sites/default/files/P2H_Full_Study_FCHJU.pdf" TargetMode="External"/><Relationship Id="rId44" Type="http://schemas.openxmlformats.org/officeDocument/2006/relationships/hyperlink" Target="https://www.irena.org/-/media/files/irena/agency/publication/2018/sep/irena_hydrogen_from_renewable_power_2018.pdf" TargetMode="External"/><Relationship Id="rId52" Type="http://schemas.openxmlformats.org/officeDocument/2006/relationships/hyperlink" Target="https://ens.dk/sites/ens.dk/files/Analyser/technology_data_for_renewable_fuels.pdf" TargetMode="External"/><Relationship Id="rId4" Type="http://schemas.openxmlformats.org/officeDocument/2006/relationships/hyperlink" Target="https://www.fch.europa.eu/sites/default/files/P2H_Full_Study_FCHJU.pdf" TargetMode="External"/><Relationship Id="rId9" Type="http://schemas.openxmlformats.org/officeDocument/2006/relationships/hyperlink" Target="https://www.irena.org/-/media/files/irena/agency/publication/2018/sep/irena_hydrogen_from_renewable_power_2018.pdf" TargetMode="External"/><Relationship Id="rId14" Type="http://schemas.openxmlformats.org/officeDocument/2006/relationships/hyperlink" Target="https://op.europa.eu/en/publication-detail/-/publication/7e4afa7d-d077-11ea-adf7-01aa75ed71a1/language-en" TargetMode="External"/><Relationship Id="rId22" Type="http://schemas.openxmlformats.org/officeDocument/2006/relationships/hyperlink" Target="https://www.irena.org/-/media/files/irena/agency/publication/2018/sep/irena_hydrogen_from_renewable_power_2018.pdf" TargetMode="External"/><Relationship Id="rId27" Type="http://schemas.openxmlformats.org/officeDocument/2006/relationships/hyperlink" Target="https://www.fch.europa.eu/sites/default/files/P2H_Full_Study_FCHJU.pdf" TargetMode="External"/><Relationship Id="rId30" Type="http://schemas.openxmlformats.org/officeDocument/2006/relationships/hyperlink" Target="https://www.irena.org/-/media/files/irena/agency/publication/2018/sep/irena_hydrogen_from_renewable_power_2018.pdf" TargetMode="External"/><Relationship Id="rId35" Type="http://schemas.openxmlformats.org/officeDocument/2006/relationships/hyperlink" Target="https://op.europa.eu/en/publication-detail/-/publication/7e4afa7d-d077-11ea-adf7-01aa75ed71a1/language-en" TargetMode="External"/><Relationship Id="rId43" Type="http://schemas.openxmlformats.org/officeDocument/2006/relationships/hyperlink" Target="https://www.irena.org/publications/2020/Dec/Green-hydrogen-cost-reduction" TargetMode="External"/><Relationship Id="rId48" Type="http://schemas.openxmlformats.org/officeDocument/2006/relationships/hyperlink" Target="https://ens.dk/en/our-services/projections-and-models/technology-data/technology-catalogue-transport-energy" TargetMode="External"/><Relationship Id="rId8" Type="http://schemas.openxmlformats.org/officeDocument/2006/relationships/hyperlink" Target="https://www.irena.org/publications/2020/Dec/Green-hydrogen-cost-reduction" TargetMode="External"/><Relationship Id="rId51" Type="http://schemas.openxmlformats.org/officeDocument/2006/relationships/hyperlink" Target="https://ens.dk/sites/ens.dk/files/Analyser/technology_data_for_renewable_fuels.pdf" TargetMode="External"/><Relationship Id="rId3" Type="http://schemas.openxmlformats.org/officeDocument/2006/relationships/hyperlink" Target="https://www.fch.europa.eu/sites/default/files/P2H_Full_Study_FCHJU.pdf" TargetMode="External"/><Relationship Id="rId12" Type="http://schemas.openxmlformats.org/officeDocument/2006/relationships/hyperlink" Target="https://www.irena.org/publications/2020/Dec/Green-hydrogen-cost-reduction" TargetMode="External"/><Relationship Id="rId17" Type="http://schemas.openxmlformats.org/officeDocument/2006/relationships/hyperlink" Target="https://www.irena.org/publications/2020/Dec/Green-hydrogen-cost-reduction" TargetMode="External"/><Relationship Id="rId25" Type="http://schemas.openxmlformats.org/officeDocument/2006/relationships/hyperlink" Target="https://doi.org/10.1016/j.apenergy.2020.114780" TargetMode="External"/><Relationship Id="rId33" Type="http://schemas.openxmlformats.org/officeDocument/2006/relationships/hyperlink" Target="https://www.irena.org/-/media/files/irena/agency/publication/2018/sep/irena_hydrogen_from_renewable_power_2018.pdf" TargetMode="External"/><Relationship Id="rId38" Type="http://schemas.openxmlformats.org/officeDocument/2006/relationships/hyperlink" Target="https://www.fch.europa.eu/sites/default/files/P2H_Full_Study_FCHJU.pdf" TargetMode="External"/><Relationship Id="rId46" Type="http://schemas.openxmlformats.org/officeDocument/2006/relationships/hyperlink" Target="https://op.europa.eu/en/publication-detail/-/publication/7e4afa7d-d077-11ea-adf7-01aa75ed71a1/language-en" TargetMode="External"/><Relationship Id="rId20" Type="http://schemas.openxmlformats.org/officeDocument/2006/relationships/hyperlink" Target="https://www.irena.org/publications/2020/Dec/Green-hydrogen-cost-reduction" TargetMode="External"/><Relationship Id="rId41" Type="http://schemas.openxmlformats.org/officeDocument/2006/relationships/hyperlink" Target="https://www.irena.org/-/media/files/irena/agency/publication/2018/sep/irena_hydrogen_from_renewable_power_2018.pdf" TargetMode="External"/><Relationship Id="rId54" Type="http://schemas.openxmlformats.org/officeDocument/2006/relationships/hyperlink" Target="https://ens.dk/sites/ens.dk/files/Analyser/technology_data_for_renewable_fuels.pdf" TargetMode="External"/><Relationship Id="rId1" Type="http://schemas.openxmlformats.org/officeDocument/2006/relationships/hyperlink" Target="https://doi.org/10.1016/j.apenergy.2020.114780" TargetMode="External"/><Relationship Id="rId6" Type="http://schemas.openxmlformats.org/officeDocument/2006/relationships/hyperlink" Target="https://www.irena.org/-/media/files/irena/agency/publication/2018/sep/irena_hydrogen_from_renewable_power_2018.pdf" TargetMode="External"/><Relationship Id="rId15" Type="http://schemas.openxmlformats.org/officeDocument/2006/relationships/hyperlink" Target="https://www.fch.europa.eu/sites/default/files/P2H_Full_Study_FCHJU.pdf" TargetMode="External"/><Relationship Id="rId23" Type="http://schemas.openxmlformats.org/officeDocument/2006/relationships/hyperlink" Target="https://op.europa.eu/en/publication-detail/-/publication/7e4afa7d-d077-11ea-adf7-01aa75ed71a1/language-en" TargetMode="External"/><Relationship Id="rId28" Type="http://schemas.openxmlformats.org/officeDocument/2006/relationships/hyperlink" Target="https://www.fch.europa.eu/sites/default/files/P2H_Full_Study_FCHJU.pdf" TargetMode="External"/><Relationship Id="rId36" Type="http://schemas.openxmlformats.org/officeDocument/2006/relationships/hyperlink" Target="https://www.irena.org/publications/2020/Dec/Green-hydrogen-cost-reduction" TargetMode="External"/><Relationship Id="rId49" Type="http://schemas.openxmlformats.org/officeDocument/2006/relationships/hyperlink" Target="https://www.hydrogeneurope.eu/wp-content/uploads/2021/04/20201027-SRIA-CHE-final-draft.pdf"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doi.org/10.1016/j.rser.2020.110171" TargetMode="External"/><Relationship Id="rId3" Type="http://schemas.openxmlformats.org/officeDocument/2006/relationships/hyperlink" Target="https://doi.org/10.1016/B978-0-12-820560-0.00002-3" TargetMode="External"/><Relationship Id="rId7" Type="http://schemas.openxmlformats.org/officeDocument/2006/relationships/hyperlink" Target="https://steelheadcomposites.com/hydrogen-storage/" TargetMode="External"/><Relationship Id="rId12" Type="http://schemas.openxmlformats.org/officeDocument/2006/relationships/hyperlink" Target="https://doi.org/10.1016/j.apenergy.2019.113967" TargetMode="External"/><Relationship Id="rId2" Type="http://schemas.openxmlformats.org/officeDocument/2006/relationships/hyperlink" Target="https://www.researchgate.net/profile/Arman-Aghahosseini/publication/321344382_The_role_of_hydrogen_production_in_100_renewable_energy_systems_in_the_power_and_industrial_gas_sectors/links/5c652de5a6fdccb608c12a93/The-role-of-hydrogen-production-in-100-renewable-energy-systems-in-the-power-and-industrial-gas-sectors.pdf?origin=publication_detail" TargetMode="External"/><Relationship Id="rId1" Type="http://schemas.openxmlformats.org/officeDocument/2006/relationships/hyperlink" Target="https://doi.org/10.1016/B978-0-12-820560-0.00002-3" TargetMode="External"/><Relationship Id="rId6" Type="http://schemas.openxmlformats.org/officeDocument/2006/relationships/hyperlink" Target="https://www.researchgate.net/profile/Arman-Aghahosseini/publication/321344382_The_role_of_hydrogen_production_in_100_renewable_energy_systems_in_the_power_and_industrial_gas_sectors/links/5c652de5a6fdccb608c12a93/The-role-of-hydrogen-production-in-100-renewable-energy-systems-in-the-power-and-industrial-gas-sectors.pdf?origin=publication_detail" TargetMode="External"/><Relationship Id="rId11" Type="http://schemas.openxmlformats.org/officeDocument/2006/relationships/hyperlink" Target="https://ars.els-cdn.com/content/image/1-s2.0-S1364032121008352-mmc1.pdf" TargetMode="External"/><Relationship Id="rId5" Type="http://schemas.openxmlformats.org/officeDocument/2006/relationships/hyperlink" Target="https://doi.org/10.1016/B978-0-12-820560-0.00008-4" TargetMode="External"/><Relationship Id="rId10" Type="http://schemas.openxmlformats.org/officeDocument/2006/relationships/hyperlink" Target="https://doi.org/10.1016/j.apenergy.2020.116170" TargetMode="External"/><Relationship Id="rId4" Type="http://schemas.openxmlformats.org/officeDocument/2006/relationships/hyperlink" Target="https://www.researchgate.net/profile/Arman-Aghahosseini/publication/321344382_The_role_of_hydrogen_production_in_100_renewable_energy_systems_in_the_power_and_industrial_gas_sectors/links/5c652de5a6fdccb608c12a93/The-role-of-hydrogen-production-in-100-renewable-energy-systems-in-the-power-and-industrial-gas-sectors.pdf?origin=publication_detail" TargetMode="External"/><Relationship Id="rId9" Type="http://schemas.openxmlformats.org/officeDocument/2006/relationships/hyperlink" Target="https://doi.org/10.1016/j.apenergy.2020.116170"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ars.els-cdn.com/content/image/1-s2.0-S0360544221007167-mmc1.pdf" TargetMode="External"/><Relationship Id="rId13" Type="http://schemas.openxmlformats.org/officeDocument/2006/relationships/hyperlink" Target="https://ars.els-cdn.com/content/image/1-s2.0-S1364032121008352-mmc1.pdf" TargetMode="External"/><Relationship Id="rId3" Type="http://schemas.openxmlformats.org/officeDocument/2006/relationships/hyperlink" Target="https://ars.els-cdn.com/content/image/1-s2.0-S1364032121008352-mmc1.pdf" TargetMode="External"/><Relationship Id="rId7" Type="http://schemas.openxmlformats.org/officeDocument/2006/relationships/hyperlink" Target="https://ars.els-cdn.com/content/image/1-s2.0-S0360544221007167-mmc1.pdf" TargetMode="External"/><Relationship Id="rId12" Type="http://schemas.openxmlformats.org/officeDocument/2006/relationships/hyperlink" Target="https://ars.els-cdn.com/content/image/1-s2.0-S1364032121008352-mmc1.pdf" TargetMode="External"/><Relationship Id="rId2" Type="http://schemas.openxmlformats.org/officeDocument/2006/relationships/hyperlink" Target="https://ars.els-cdn.com/content/image/1-s2.0-S1364032121008352-mmc1.pdf" TargetMode="External"/><Relationship Id="rId1" Type="http://schemas.openxmlformats.org/officeDocument/2006/relationships/hyperlink" Target="https://ars.els-cdn.com/content/image/1-s2.0-S1364032121008352-mmc1.pdf" TargetMode="External"/><Relationship Id="rId6" Type="http://schemas.openxmlformats.org/officeDocument/2006/relationships/hyperlink" Target="https://ars.els-cdn.com/content/image/1-s2.0-S0360544220306149-mmc1.pdf" TargetMode="External"/><Relationship Id="rId11" Type="http://schemas.openxmlformats.org/officeDocument/2006/relationships/hyperlink" Target="https://ars.els-cdn.com/content/image/1-s2.0-S1364032121008352-mmc1.pdf" TargetMode="External"/><Relationship Id="rId5" Type="http://schemas.openxmlformats.org/officeDocument/2006/relationships/hyperlink" Target="https://ars.els-cdn.com/content/image/1-s2.0-S1364032121008352-mmc1.pdf" TargetMode="External"/><Relationship Id="rId10" Type="http://schemas.openxmlformats.org/officeDocument/2006/relationships/hyperlink" Target="https://ars.els-cdn.com/content/image/1-s2.0-S1364032121008352-mmc1.pdf" TargetMode="External"/><Relationship Id="rId4" Type="http://schemas.openxmlformats.org/officeDocument/2006/relationships/hyperlink" Target="https://ars.els-cdn.com/content/image/1-s2.0-S1364032121008352-mmc1.pdf" TargetMode="External"/><Relationship Id="rId9" Type="http://schemas.openxmlformats.org/officeDocument/2006/relationships/hyperlink" Target="https://ars.els-cdn.com/content/image/1-s2.0-S0360544221007167-mmc1.pdf" TargetMode="External"/><Relationship Id="rId14"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B9"/>
  <sheetViews>
    <sheetView topLeftCell="A10" workbookViewId="0">
      <selection activeCell="D38" sqref="D38"/>
    </sheetView>
  </sheetViews>
  <sheetFormatPr defaultColWidth="11.42578125" defaultRowHeight="14.25"/>
  <cols>
    <col min="2" max="2" width="20.140625" bestFit="1" customWidth="1"/>
  </cols>
  <sheetData>
    <row r="1" spans="1:2">
      <c r="A1" s="6"/>
      <c r="B1" s="7" t="s">
        <v>0</v>
      </c>
    </row>
    <row r="2" spans="1:2">
      <c r="A2" s="8"/>
      <c r="B2" s="9" t="s">
        <v>1</v>
      </c>
    </row>
    <row r="3" spans="1:2">
      <c r="A3" s="10"/>
      <c r="B3" s="9" t="s">
        <v>2</v>
      </c>
    </row>
    <row r="4" spans="1:2">
      <c r="A4" s="11"/>
      <c r="B4" s="9" t="s">
        <v>3</v>
      </c>
    </row>
    <row r="5" spans="1:2" ht="14.65" thickBot="1">
      <c r="A5" s="12"/>
      <c r="B5" s="13" t="s">
        <v>4</v>
      </c>
    </row>
    <row r="6" spans="1:2" ht="14.65" thickBot="1"/>
    <row r="7" spans="1:2">
      <c r="A7" s="14"/>
      <c r="B7" s="7" t="s">
        <v>5</v>
      </c>
    </row>
    <row r="8" spans="1:2">
      <c r="A8" s="15"/>
      <c r="B8" s="9" t="s">
        <v>6</v>
      </c>
    </row>
    <row r="9" spans="1:2" ht="14.65" thickBot="1">
      <c r="A9" s="16"/>
      <c r="B9" s="13" t="s">
        <v>7</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5CE4A-F233-45DE-B107-0FC890B71D52}">
  <sheetPr codeName="Hoja10"/>
  <dimension ref="A1:J68"/>
  <sheetViews>
    <sheetView workbookViewId="0">
      <selection activeCell="J3" sqref="J3"/>
    </sheetView>
  </sheetViews>
  <sheetFormatPr defaultColWidth="11.42578125" defaultRowHeight="14.25"/>
  <cols>
    <col min="1" max="1" width="29.7109375" bestFit="1" customWidth="1"/>
    <col min="9" max="9" width="11.5703125" style="71"/>
    <col min="10" max="10" width="80.140625" customWidth="1"/>
  </cols>
  <sheetData>
    <row r="1" spans="1:10" ht="28.9" thickBot="1">
      <c r="A1" s="115" t="s">
        <v>932</v>
      </c>
      <c r="B1" s="86">
        <v>2020</v>
      </c>
      <c r="C1" s="80">
        <v>2025</v>
      </c>
      <c r="D1" s="80">
        <v>2030</v>
      </c>
      <c r="E1" s="80">
        <v>2035</v>
      </c>
      <c r="F1" s="80">
        <v>2040</v>
      </c>
      <c r="G1" s="80">
        <v>2045</v>
      </c>
      <c r="H1" s="80">
        <v>2050</v>
      </c>
      <c r="I1" s="107" t="s">
        <v>567</v>
      </c>
      <c r="J1" s="82" t="s">
        <v>568</v>
      </c>
    </row>
    <row r="2" spans="1:10" ht="14.45" customHeight="1">
      <c r="A2" s="235" t="s">
        <v>702</v>
      </c>
      <c r="B2" s="236">
        <v>968</v>
      </c>
      <c r="C2" s="237">
        <v>946</v>
      </c>
      <c r="D2" s="237">
        <v>923</v>
      </c>
      <c r="E2" s="237">
        <v>902</v>
      </c>
      <c r="F2" s="237">
        <v>880</v>
      </c>
      <c r="G2" s="237">
        <v>860</v>
      </c>
      <c r="H2" s="237">
        <v>840</v>
      </c>
      <c r="I2" s="79" t="s">
        <v>628</v>
      </c>
      <c r="J2" s="83"/>
    </row>
    <row r="3" spans="1:10" ht="31.15" customHeight="1">
      <c r="A3" s="212"/>
      <c r="B3" s="213"/>
      <c r="C3" s="211"/>
      <c r="D3" s="211"/>
      <c r="E3" s="211"/>
      <c r="F3" s="211"/>
      <c r="G3" s="211"/>
      <c r="H3" s="211"/>
      <c r="I3" s="76" t="s">
        <v>933</v>
      </c>
      <c r="J3" s="99" t="s">
        <v>934</v>
      </c>
    </row>
    <row r="4" spans="1:10">
      <c r="A4" s="91" t="s">
        <v>751</v>
      </c>
      <c r="B4" s="88">
        <v>19.399999999999999</v>
      </c>
      <c r="C4" s="73">
        <v>18.899999999999999</v>
      </c>
      <c r="D4" s="73">
        <v>18.5</v>
      </c>
      <c r="E4" s="73">
        <v>18</v>
      </c>
      <c r="F4" s="73">
        <v>17.600000000000001</v>
      </c>
      <c r="G4" s="73">
        <v>17.2</v>
      </c>
      <c r="H4" s="73">
        <v>16.8</v>
      </c>
      <c r="I4" s="217" t="s">
        <v>628</v>
      </c>
      <c r="J4" s="9"/>
    </row>
    <row r="5" spans="1:10">
      <c r="A5" s="91" t="s">
        <v>752</v>
      </c>
      <c r="B5" s="88">
        <v>0</v>
      </c>
      <c r="C5" s="73">
        <v>0</v>
      </c>
      <c r="D5" s="73">
        <v>0</v>
      </c>
      <c r="E5" s="73">
        <v>0</v>
      </c>
      <c r="F5" s="73">
        <v>0</v>
      </c>
      <c r="G5" s="73">
        <v>0</v>
      </c>
      <c r="H5" s="73">
        <v>0</v>
      </c>
      <c r="I5" s="217"/>
      <c r="J5" s="9"/>
    </row>
    <row r="6" spans="1:10" ht="18" customHeight="1">
      <c r="A6" s="91" t="s">
        <v>918</v>
      </c>
      <c r="B6" s="88">
        <v>38.299999999999997</v>
      </c>
      <c r="C6" s="73">
        <v>40.299999999999997</v>
      </c>
      <c r="D6" s="73">
        <v>43</v>
      </c>
      <c r="E6" s="73">
        <v>43</v>
      </c>
      <c r="F6" s="73">
        <v>43</v>
      </c>
      <c r="G6" s="73">
        <v>43</v>
      </c>
      <c r="H6" s="73">
        <v>43</v>
      </c>
      <c r="I6" s="76" t="s">
        <v>916</v>
      </c>
      <c r="J6" s="9" t="s">
        <v>935</v>
      </c>
    </row>
    <row r="7" spans="1:10" ht="16.899999999999999" customHeight="1">
      <c r="A7" s="91" t="s">
        <v>753</v>
      </c>
      <c r="B7" s="88">
        <v>3.2599999999999997E-2</v>
      </c>
      <c r="C7" s="73">
        <v>3.2599999999999997E-2</v>
      </c>
      <c r="D7" s="73">
        <v>3.2599999999999997E-2</v>
      </c>
      <c r="E7" s="73">
        <v>3.2599999999999997E-2</v>
      </c>
      <c r="F7" s="73">
        <v>3.2599999999999997E-2</v>
      </c>
      <c r="G7" s="73">
        <v>3.2599999999999997E-2</v>
      </c>
      <c r="H7" s="73">
        <v>3.2599999999999997E-2</v>
      </c>
      <c r="I7" s="76" t="s">
        <v>754</v>
      </c>
      <c r="J7" s="9" t="s">
        <v>936</v>
      </c>
    </row>
    <row r="8" spans="1:10">
      <c r="A8" s="91" t="s">
        <v>607</v>
      </c>
      <c r="B8" s="88">
        <v>50</v>
      </c>
      <c r="C8" s="73">
        <v>50</v>
      </c>
      <c r="D8" s="73">
        <v>50</v>
      </c>
      <c r="E8" s="73">
        <v>50</v>
      </c>
      <c r="F8" s="73">
        <v>50</v>
      </c>
      <c r="G8" s="73">
        <v>50</v>
      </c>
      <c r="H8" s="73">
        <v>50</v>
      </c>
      <c r="I8" s="217" t="s">
        <v>937</v>
      </c>
      <c r="J8" s="9"/>
    </row>
    <row r="9" spans="1:10">
      <c r="A9" s="91" t="s">
        <v>640</v>
      </c>
      <c r="B9" s="88">
        <v>40</v>
      </c>
      <c r="C9" s="73">
        <v>40</v>
      </c>
      <c r="D9" s="73">
        <v>40</v>
      </c>
      <c r="E9" s="73">
        <v>40</v>
      </c>
      <c r="F9" s="73">
        <v>40</v>
      </c>
      <c r="G9" s="73">
        <v>40</v>
      </c>
      <c r="H9" s="73">
        <v>40</v>
      </c>
      <c r="I9" s="217"/>
      <c r="J9" s="9"/>
    </row>
    <row r="10" spans="1:10" ht="16.899999999999999" customHeight="1">
      <c r="A10" s="91" t="s">
        <v>938</v>
      </c>
      <c r="B10" s="88">
        <v>540</v>
      </c>
      <c r="C10" s="73">
        <v>540</v>
      </c>
      <c r="D10" s="73">
        <v>540</v>
      </c>
      <c r="E10" s="73">
        <v>540</v>
      </c>
      <c r="F10" s="73">
        <v>540</v>
      </c>
      <c r="G10" s="73">
        <v>540</v>
      </c>
      <c r="H10" s="73">
        <v>540</v>
      </c>
      <c r="I10" s="76" t="s">
        <v>939</v>
      </c>
      <c r="J10" s="9"/>
    </row>
    <row r="11" spans="1:10">
      <c r="A11" s="91" t="s">
        <v>940</v>
      </c>
      <c r="B11" s="88" t="s">
        <v>941</v>
      </c>
      <c r="C11" s="73" t="s">
        <v>941</v>
      </c>
      <c r="D11" s="73" t="s">
        <v>941</v>
      </c>
      <c r="E11" s="73" t="s">
        <v>941</v>
      </c>
      <c r="F11" s="73" t="s">
        <v>941</v>
      </c>
      <c r="G11" s="73" t="s">
        <v>941</v>
      </c>
      <c r="H11" s="73" t="s">
        <v>941</v>
      </c>
      <c r="I11" s="77"/>
      <c r="J11" s="9"/>
    </row>
    <row r="12" spans="1:10" ht="12.6" customHeight="1" thickBot="1">
      <c r="A12" s="92" t="s">
        <v>611</v>
      </c>
      <c r="B12" s="89">
        <v>25</v>
      </c>
      <c r="C12" s="75">
        <v>25</v>
      </c>
      <c r="D12" s="75">
        <v>25</v>
      </c>
      <c r="E12" s="75">
        <v>30</v>
      </c>
      <c r="F12" s="75">
        <v>30</v>
      </c>
      <c r="G12" s="75">
        <v>30</v>
      </c>
      <c r="H12" s="75">
        <v>30</v>
      </c>
      <c r="I12" s="85" t="s">
        <v>628</v>
      </c>
      <c r="J12" s="13"/>
    </row>
    <row r="13" spans="1:10" ht="14.65" thickBot="1">
      <c r="B13" s="35"/>
      <c r="C13" s="35"/>
      <c r="D13" s="35"/>
      <c r="E13" s="35"/>
      <c r="F13" s="35"/>
      <c r="G13" s="35"/>
      <c r="H13" s="35"/>
    </row>
    <row r="14" spans="1:10" ht="28.9" thickBot="1">
      <c r="A14" s="115" t="s">
        <v>942</v>
      </c>
      <c r="B14" s="86">
        <v>2020</v>
      </c>
      <c r="C14" s="80">
        <v>2025</v>
      </c>
      <c r="D14" s="80">
        <v>2030</v>
      </c>
      <c r="E14" s="80">
        <v>2035</v>
      </c>
      <c r="F14" s="80">
        <v>2040</v>
      </c>
      <c r="G14" s="80">
        <v>2045</v>
      </c>
      <c r="H14" s="80">
        <v>2050</v>
      </c>
      <c r="I14" s="107" t="s">
        <v>567</v>
      </c>
      <c r="J14" s="82" t="s">
        <v>568</v>
      </c>
    </row>
    <row r="15" spans="1:10" ht="12" customHeight="1">
      <c r="A15" s="235" t="s">
        <v>702</v>
      </c>
      <c r="B15" s="236">
        <v>968</v>
      </c>
      <c r="C15" s="237">
        <v>946</v>
      </c>
      <c r="D15" s="237">
        <v>923</v>
      </c>
      <c r="E15" s="237">
        <v>902</v>
      </c>
      <c r="F15" s="237">
        <v>880</v>
      </c>
      <c r="G15" s="237">
        <v>860</v>
      </c>
      <c r="H15" s="237">
        <v>840</v>
      </c>
      <c r="I15" s="79" t="s">
        <v>628</v>
      </c>
      <c r="J15" s="83"/>
    </row>
    <row r="16" spans="1:10" ht="26.45" customHeight="1">
      <c r="A16" s="212"/>
      <c r="B16" s="213"/>
      <c r="C16" s="211"/>
      <c r="D16" s="211"/>
      <c r="E16" s="211"/>
      <c r="F16" s="211"/>
      <c r="G16" s="211"/>
      <c r="H16" s="211"/>
      <c r="I16" s="76" t="s">
        <v>933</v>
      </c>
      <c r="J16" s="99" t="s">
        <v>934</v>
      </c>
    </row>
    <row r="17" spans="1:10">
      <c r="A17" s="91" t="s">
        <v>751</v>
      </c>
      <c r="B17" s="88">
        <v>19.399999999999999</v>
      </c>
      <c r="C17" s="73">
        <v>18.899999999999999</v>
      </c>
      <c r="D17" s="73">
        <v>18.5</v>
      </c>
      <c r="E17" s="73">
        <v>18</v>
      </c>
      <c r="F17" s="73">
        <v>17.600000000000001</v>
      </c>
      <c r="G17" s="73">
        <v>17.2</v>
      </c>
      <c r="H17" s="73">
        <v>16.8</v>
      </c>
      <c r="I17" s="217" t="s">
        <v>628</v>
      </c>
      <c r="J17" s="9"/>
    </row>
    <row r="18" spans="1:10">
      <c r="A18" s="91" t="s">
        <v>752</v>
      </c>
      <c r="B18" s="88">
        <v>0</v>
      </c>
      <c r="C18" s="73">
        <v>0</v>
      </c>
      <c r="D18" s="73">
        <v>0</v>
      </c>
      <c r="E18" s="73">
        <v>0</v>
      </c>
      <c r="F18" s="73">
        <v>0</v>
      </c>
      <c r="G18" s="73">
        <v>0</v>
      </c>
      <c r="H18" s="73">
        <v>0</v>
      </c>
      <c r="I18" s="217"/>
      <c r="J18" s="9"/>
    </row>
    <row r="19" spans="1:10" ht="16.899999999999999" customHeight="1">
      <c r="A19" s="91" t="s">
        <v>918</v>
      </c>
      <c r="B19" s="88">
        <v>38.299999999999997</v>
      </c>
      <c r="C19" s="73">
        <v>40.299999999999997</v>
      </c>
      <c r="D19" s="73">
        <v>43</v>
      </c>
      <c r="E19" s="73">
        <v>43</v>
      </c>
      <c r="F19" s="73">
        <v>43</v>
      </c>
      <c r="G19" s="73">
        <v>43</v>
      </c>
      <c r="H19" s="73">
        <v>43</v>
      </c>
      <c r="I19" s="76" t="s">
        <v>916</v>
      </c>
      <c r="J19" s="9" t="s">
        <v>935</v>
      </c>
    </row>
    <row r="20" spans="1:10" ht="13.9" customHeight="1">
      <c r="A20" s="91" t="s">
        <v>753</v>
      </c>
      <c r="B20" s="88">
        <v>0.04</v>
      </c>
      <c r="C20" s="73">
        <v>0.04</v>
      </c>
      <c r="D20" s="73">
        <v>0.04</v>
      </c>
      <c r="E20" s="73">
        <v>0.04</v>
      </c>
      <c r="F20" s="73">
        <v>0.04</v>
      </c>
      <c r="G20" s="73">
        <v>0.04</v>
      </c>
      <c r="H20" s="73">
        <v>0.04</v>
      </c>
      <c r="I20" s="76" t="s">
        <v>754</v>
      </c>
      <c r="J20" s="9" t="s">
        <v>755</v>
      </c>
    </row>
    <row r="21" spans="1:10">
      <c r="A21" s="91" t="s">
        <v>607</v>
      </c>
      <c r="B21" s="88">
        <v>50</v>
      </c>
      <c r="C21" s="73">
        <v>50</v>
      </c>
      <c r="D21" s="73">
        <v>50</v>
      </c>
      <c r="E21" s="73">
        <v>50</v>
      </c>
      <c r="F21" s="73">
        <v>50</v>
      </c>
      <c r="G21" s="73">
        <v>50</v>
      </c>
      <c r="H21" s="73">
        <v>50</v>
      </c>
      <c r="I21" s="217" t="s">
        <v>937</v>
      </c>
      <c r="J21" s="9" t="s">
        <v>943</v>
      </c>
    </row>
    <row r="22" spans="1:10">
      <c r="A22" s="91" t="s">
        <v>640</v>
      </c>
      <c r="B22" s="88">
        <v>40</v>
      </c>
      <c r="C22" s="73">
        <v>40</v>
      </c>
      <c r="D22" s="73">
        <v>40</v>
      </c>
      <c r="E22" s="73">
        <v>40</v>
      </c>
      <c r="F22" s="73">
        <v>40</v>
      </c>
      <c r="G22" s="73">
        <v>40</v>
      </c>
      <c r="H22" s="73">
        <v>40</v>
      </c>
      <c r="I22" s="217"/>
      <c r="J22" s="9"/>
    </row>
    <row r="23" spans="1:10" ht="15.6" customHeight="1">
      <c r="A23" s="91" t="s">
        <v>938</v>
      </c>
      <c r="B23" s="88">
        <v>380</v>
      </c>
      <c r="C23" s="73">
        <v>380</v>
      </c>
      <c r="D23" s="73">
        <v>380</v>
      </c>
      <c r="E23" s="73">
        <v>380</v>
      </c>
      <c r="F23" s="73">
        <v>380</v>
      </c>
      <c r="G23" s="73">
        <v>380</v>
      </c>
      <c r="H23" s="73">
        <v>380</v>
      </c>
      <c r="I23" s="76" t="s">
        <v>939</v>
      </c>
      <c r="J23" s="9"/>
    </row>
    <row r="24" spans="1:10" ht="17.45" customHeight="1">
      <c r="A24" s="91" t="s">
        <v>940</v>
      </c>
      <c r="B24" s="88" t="s">
        <v>944</v>
      </c>
      <c r="C24" s="88" t="s">
        <v>944</v>
      </c>
      <c r="D24" s="88" t="s">
        <v>944</v>
      </c>
      <c r="E24" s="88" t="s">
        <v>944</v>
      </c>
      <c r="F24" s="88" t="s">
        <v>944</v>
      </c>
      <c r="G24" s="88" t="s">
        <v>944</v>
      </c>
      <c r="H24" s="88" t="s">
        <v>944</v>
      </c>
      <c r="I24" s="76" t="s">
        <v>945</v>
      </c>
      <c r="J24" s="9"/>
    </row>
    <row r="25" spans="1:10" ht="15" customHeight="1" thickBot="1">
      <c r="A25" s="92" t="s">
        <v>611</v>
      </c>
      <c r="B25" s="89">
        <v>25</v>
      </c>
      <c r="C25" s="75">
        <v>25</v>
      </c>
      <c r="D25" s="75">
        <v>25</v>
      </c>
      <c r="E25" s="75">
        <v>30</v>
      </c>
      <c r="F25" s="75">
        <v>30</v>
      </c>
      <c r="G25" s="75">
        <v>30</v>
      </c>
      <c r="H25" s="75">
        <v>30</v>
      </c>
      <c r="I25" s="85" t="s">
        <v>628</v>
      </c>
      <c r="J25" s="13"/>
    </row>
    <row r="26" spans="1:10" ht="14.65" thickBot="1"/>
    <row r="27" spans="1:10" ht="28.9" thickBot="1">
      <c r="A27" s="115" t="s">
        <v>432</v>
      </c>
      <c r="B27" s="86">
        <v>2020</v>
      </c>
      <c r="C27" s="80">
        <v>2025</v>
      </c>
      <c r="D27" s="80">
        <v>2030</v>
      </c>
      <c r="E27" s="80">
        <v>2035</v>
      </c>
      <c r="F27" s="80">
        <v>2040</v>
      </c>
      <c r="G27" s="80">
        <v>2045</v>
      </c>
      <c r="H27" s="80">
        <v>2050</v>
      </c>
      <c r="I27" s="107" t="s">
        <v>567</v>
      </c>
      <c r="J27" s="82" t="s">
        <v>568</v>
      </c>
    </row>
    <row r="28" spans="1:10" ht="14.45" customHeight="1">
      <c r="A28" s="235" t="s">
        <v>946</v>
      </c>
      <c r="B28" s="236">
        <v>344.5</v>
      </c>
      <c r="C28" s="237">
        <v>303.60000000000002</v>
      </c>
      <c r="D28" s="237">
        <v>274.7</v>
      </c>
      <c r="E28" s="237">
        <v>251.1</v>
      </c>
      <c r="F28" s="237">
        <v>230.2</v>
      </c>
      <c r="G28" s="237">
        <v>211.9</v>
      </c>
      <c r="H28" s="237">
        <v>196</v>
      </c>
      <c r="I28" s="79" t="s">
        <v>628</v>
      </c>
      <c r="J28" s="83"/>
    </row>
    <row r="29" spans="1:10" ht="16.899999999999999" customHeight="1">
      <c r="A29" s="212"/>
      <c r="B29" s="213"/>
      <c r="C29" s="211"/>
      <c r="D29" s="211"/>
      <c r="E29" s="211"/>
      <c r="F29" s="211"/>
      <c r="G29" s="211"/>
      <c r="H29" s="211"/>
      <c r="I29" s="76" t="s">
        <v>933</v>
      </c>
      <c r="J29" s="99"/>
    </row>
    <row r="30" spans="1:10" ht="28.9" customHeight="1">
      <c r="A30" s="108" t="s">
        <v>947</v>
      </c>
      <c r="B30" s="88" t="s">
        <v>948</v>
      </c>
      <c r="C30" s="73" t="s">
        <v>949</v>
      </c>
      <c r="D30" s="73" t="s">
        <v>950</v>
      </c>
      <c r="E30" s="73" t="s">
        <v>951</v>
      </c>
      <c r="F30" s="73" t="s">
        <v>952</v>
      </c>
      <c r="G30" s="73" t="s">
        <v>953</v>
      </c>
      <c r="H30" s="73" t="s">
        <v>954</v>
      </c>
      <c r="I30" s="217" t="s">
        <v>628</v>
      </c>
      <c r="J30" s="9"/>
    </row>
    <row r="31" spans="1:10">
      <c r="A31" s="91" t="s">
        <v>955</v>
      </c>
      <c r="B31" s="88">
        <v>0</v>
      </c>
      <c r="C31" s="73">
        <v>0</v>
      </c>
      <c r="D31" s="73">
        <v>0</v>
      </c>
      <c r="E31" s="73">
        <v>0</v>
      </c>
      <c r="F31" s="73">
        <v>0</v>
      </c>
      <c r="G31" s="73">
        <v>0</v>
      </c>
      <c r="H31" s="73">
        <v>0</v>
      </c>
      <c r="I31" s="217"/>
      <c r="J31" s="9"/>
    </row>
    <row r="32" spans="1:10">
      <c r="A32" s="91" t="s">
        <v>956</v>
      </c>
      <c r="B32" s="88">
        <v>2.4</v>
      </c>
      <c r="C32" s="73">
        <v>2.4</v>
      </c>
      <c r="D32" s="73">
        <v>2.4</v>
      </c>
      <c r="E32" s="73">
        <v>2.4</v>
      </c>
      <c r="F32" s="73">
        <v>2.4</v>
      </c>
      <c r="G32" s="73">
        <v>2.4</v>
      </c>
      <c r="H32" s="73">
        <v>2.4</v>
      </c>
      <c r="I32" s="217" t="s">
        <v>933</v>
      </c>
      <c r="J32" s="9"/>
    </row>
    <row r="33" spans="1:10">
      <c r="A33" s="91" t="s">
        <v>938</v>
      </c>
      <c r="B33" s="88">
        <v>400</v>
      </c>
      <c r="C33" s="73">
        <v>400</v>
      </c>
      <c r="D33" s="73">
        <v>400</v>
      </c>
      <c r="E33" s="73">
        <v>400</v>
      </c>
      <c r="F33" s="73">
        <v>400</v>
      </c>
      <c r="G33" s="73">
        <v>400</v>
      </c>
      <c r="H33" s="73">
        <v>400</v>
      </c>
      <c r="I33" s="217"/>
      <c r="J33" s="9"/>
    </row>
    <row r="34" spans="1:10" ht="16.149999999999999" customHeight="1" thickBot="1">
      <c r="A34" s="92" t="s">
        <v>611</v>
      </c>
      <c r="B34" s="89">
        <v>25</v>
      </c>
      <c r="C34" s="75">
        <v>25</v>
      </c>
      <c r="D34" s="75">
        <v>25</v>
      </c>
      <c r="E34" s="75">
        <v>25</v>
      </c>
      <c r="F34" s="75">
        <v>25</v>
      </c>
      <c r="G34" s="75">
        <v>25</v>
      </c>
      <c r="H34" s="75">
        <v>25</v>
      </c>
      <c r="I34" s="85" t="s">
        <v>628</v>
      </c>
      <c r="J34" s="13"/>
    </row>
    <row r="35" spans="1:10" ht="14.65" thickBot="1"/>
    <row r="36" spans="1:10" ht="14.65" thickBot="1">
      <c r="A36" s="115" t="s">
        <v>430</v>
      </c>
      <c r="B36" s="86">
        <v>2020</v>
      </c>
      <c r="C36" s="80">
        <v>2025</v>
      </c>
      <c r="D36" s="80">
        <v>2030</v>
      </c>
      <c r="E36" s="80">
        <v>2035</v>
      </c>
      <c r="F36" s="80">
        <v>2040</v>
      </c>
      <c r="G36" s="80">
        <v>2045</v>
      </c>
      <c r="H36" s="80">
        <v>2050</v>
      </c>
      <c r="I36" s="81" t="s">
        <v>567</v>
      </c>
      <c r="J36" s="82" t="s">
        <v>568</v>
      </c>
    </row>
    <row r="37" spans="1:10" ht="46.15" customHeight="1">
      <c r="A37" s="235" t="s">
        <v>946</v>
      </c>
      <c r="B37" s="236">
        <v>318.98149999999998</v>
      </c>
      <c r="C37" s="237">
        <v>281.11099999999999</v>
      </c>
      <c r="D37" s="237">
        <v>253.1797</v>
      </c>
      <c r="E37" s="237">
        <v>231.42859999999999</v>
      </c>
      <c r="F37" s="237">
        <v>212.16589999999999</v>
      </c>
      <c r="G37" s="237">
        <v>195.3</v>
      </c>
      <c r="H37" s="237">
        <v>180.64516</v>
      </c>
      <c r="I37" s="79" t="s">
        <v>628</v>
      </c>
      <c r="J37" s="98" t="s">
        <v>957</v>
      </c>
    </row>
    <row r="38" spans="1:10" ht="28.15" customHeight="1">
      <c r="A38" s="212"/>
      <c r="B38" s="213"/>
      <c r="C38" s="211"/>
      <c r="D38" s="211"/>
      <c r="E38" s="211"/>
      <c r="F38" s="211"/>
      <c r="G38" s="211"/>
      <c r="H38" s="211"/>
      <c r="I38" s="76" t="s">
        <v>933</v>
      </c>
      <c r="J38" s="99" t="s">
        <v>958</v>
      </c>
    </row>
    <row r="39" spans="1:10" ht="45.6" customHeight="1">
      <c r="A39" s="212"/>
      <c r="B39" s="213"/>
      <c r="C39" s="211"/>
      <c r="D39" s="211"/>
      <c r="E39" s="211"/>
      <c r="F39" s="211"/>
      <c r="G39" s="211"/>
      <c r="H39" s="211"/>
      <c r="I39" s="76" t="s">
        <v>959</v>
      </c>
      <c r="J39" s="99" t="s">
        <v>960</v>
      </c>
    </row>
    <row r="40" spans="1:10" ht="28.5">
      <c r="A40" s="108" t="s">
        <v>947</v>
      </c>
      <c r="B40" s="88" t="s">
        <v>961</v>
      </c>
      <c r="C40" s="73" t="s">
        <v>962</v>
      </c>
      <c r="D40" s="73" t="s">
        <v>963</v>
      </c>
      <c r="E40" s="73" t="s">
        <v>964</v>
      </c>
      <c r="F40" s="73" t="s">
        <v>965</v>
      </c>
      <c r="G40" s="73" t="s">
        <v>966</v>
      </c>
      <c r="H40" s="73" t="s">
        <v>967</v>
      </c>
      <c r="I40" s="217" t="s">
        <v>628</v>
      </c>
      <c r="J40" s="9"/>
    </row>
    <row r="41" spans="1:10">
      <c r="A41" s="91" t="s">
        <v>955</v>
      </c>
      <c r="B41" s="88">
        <v>0</v>
      </c>
      <c r="C41" s="73">
        <v>0</v>
      </c>
      <c r="D41" s="73">
        <v>0</v>
      </c>
      <c r="E41" s="73">
        <v>0</v>
      </c>
      <c r="F41" s="73">
        <v>0</v>
      </c>
      <c r="G41" s="73">
        <v>0</v>
      </c>
      <c r="H41" s="73">
        <v>0</v>
      </c>
      <c r="I41" s="217"/>
      <c r="J41" s="9"/>
    </row>
    <row r="42" spans="1:10">
      <c r="A42" s="91" t="s">
        <v>956</v>
      </c>
      <c r="B42" s="88">
        <v>2.4</v>
      </c>
      <c r="C42" s="73">
        <v>2.4</v>
      </c>
      <c r="D42" s="73">
        <v>2.4</v>
      </c>
      <c r="E42" s="73">
        <v>2.4</v>
      </c>
      <c r="F42" s="73">
        <v>2.4</v>
      </c>
      <c r="G42" s="73">
        <v>2.4</v>
      </c>
      <c r="H42" s="73">
        <v>2.4</v>
      </c>
      <c r="I42" s="217" t="s">
        <v>933</v>
      </c>
      <c r="J42" s="9"/>
    </row>
    <row r="43" spans="1:10">
      <c r="A43" s="91" t="s">
        <v>938</v>
      </c>
      <c r="B43" s="88">
        <v>565</v>
      </c>
      <c r="C43" s="73">
        <v>565</v>
      </c>
      <c r="D43" s="73">
        <v>565</v>
      </c>
      <c r="E43" s="73">
        <v>565</v>
      </c>
      <c r="F43" s="73">
        <v>565</v>
      </c>
      <c r="G43" s="73">
        <v>565</v>
      </c>
      <c r="H43" s="73">
        <v>565</v>
      </c>
      <c r="I43" s="217"/>
      <c r="J43" s="9"/>
    </row>
    <row r="44" spans="1:10" ht="16.149999999999999" customHeight="1" thickBot="1">
      <c r="A44" s="92" t="s">
        <v>611</v>
      </c>
      <c r="B44" s="89">
        <v>25</v>
      </c>
      <c r="C44" s="75">
        <v>25</v>
      </c>
      <c r="D44" s="75">
        <v>25</v>
      </c>
      <c r="E44" s="75">
        <v>25</v>
      </c>
      <c r="F44" s="75">
        <v>25</v>
      </c>
      <c r="G44" s="75">
        <v>25</v>
      </c>
      <c r="H44" s="75">
        <v>25</v>
      </c>
      <c r="I44" s="85" t="s">
        <v>628</v>
      </c>
      <c r="J44" s="13"/>
    </row>
    <row r="45" spans="1:10" ht="14.65" thickBot="1"/>
    <row r="46" spans="1:10" ht="43.15" thickBot="1">
      <c r="A46" s="115" t="s">
        <v>968</v>
      </c>
      <c r="B46" s="86">
        <v>2020</v>
      </c>
      <c r="C46" s="80">
        <v>2025</v>
      </c>
      <c r="D46" s="80">
        <v>2030</v>
      </c>
      <c r="E46" s="80">
        <v>2035</v>
      </c>
      <c r="F46" s="80">
        <v>2040</v>
      </c>
      <c r="G46" s="80">
        <v>2045</v>
      </c>
      <c r="H46" s="80">
        <v>2050</v>
      </c>
      <c r="I46" s="107" t="s">
        <v>567</v>
      </c>
      <c r="J46" s="82" t="s">
        <v>568</v>
      </c>
    </row>
    <row r="47" spans="1:10">
      <c r="A47" s="90" t="s">
        <v>969</v>
      </c>
      <c r="B47" s="87">
        <v>41.8</v>
      </c>
      <c r="C47" s="78">
        <v>32.700000000000003</v>
      </c>
      <c r="D47" s="78">
        <v>26.8</v>
      </c>
      <c r="E47" s="78">
        <v>23.3</v>
      </c>
      <c r="F47" s="78">
        <v>21</v>
      </c>
      <c r="G47" s="78">
        <v>19.3</v>
      </c>
      <c r="H47" s="78">
        <v>17.5</v>
      </c>
      <c r="I47" s="210" t="s">
        <v>970</v>
      </c>
      <c r="J47" s="103"/>
    </row>
    <row r="48" spans="1:10" ht="28.5">
      <c r="A48" s="108" t="s">
        <v>971</v>
      </c>
      <c r="B48" s="88" t="s">
        <v>972</v>
      </c>
      <c r="C48" s="73" t="s">
        <v>973</v>
      </c>
      <c r="D48" s="73" t="s">
        <v>974</v>
      </c>
      <c r="E48" s="73" t="s">
        <v>975</v>
      </c>
      <c r="F48" s="73" t="s">
        <v>976</v>
      </c>
      <c r="G48" s="73" t="s">
        <v>977</v>
      </c>
      <c r="H48" s="73" t="s">
        <v>978</v>
      </c>
      <c r="I48" s="217"/>
      <c r="J48" s="9"/>
    </row>
    <row r="49" spans="1:10">
      <c r="A49" s="91" t="s">
        <v>955</v>
      </c>
      <c r="B49" s="88">
        <v>0</v>
      </c>
      <c r="C49" s="73">
        <v>0</v>
      </c>
      <c r="D49" s="73">
        <v>0</v>
      </c>
      <c r="E49" s="73">
        <v>0</v>
      </c>
      <c r="F49" s="73">
        <v>0</v>
      </c>
      <c r="G49" s="73">
        <v>0</v>
      </c>
      <c r="H49" s="73">
        <v>0</v>
      </c>
      <c r="I49" s="217"/>
      <c r="J49" s="9"/>
    </row>
    <row r="50" spans="1:10" ht="15" customHeight="1">
      <c r="A50" s="91" t="s">
        <v>914</v>
      </c>
      <c r="B50" s="88" t="s">
        <v>979</v>
      </c>
      <c r="C50" s="73" t="s">
        <v>979</v>
      </c>
      <c r="D50" s="73" t="s">
        <v>979</v>
      </c>
      <c r="E50" s="73" t="s">
        <v>979</v>
      </c>
      <c r="F50" s="73" t="s">
        <v>979</v>
      </c>
      <c r="G50" s="73" t="s">
        <v>979</v>
      </c>
      <c r="H50" s="73" t="s">
        <v>979</v>
      </c>
      <c r="I50" s="76" t="s">
        <v>916</v>
      </c>
      <c r="J50" s="9"/>
    </row>
    <row r="51" spans="1:10" ht="28.5">
      <c r="A51" s="91" t="s">
        <v>980</v>
      </c>
      <c r="B51" s="88" t="s">
        <v>981</v>
      </c>
      <c r="C51" s="73" t="s">
        <v>981</v>
      </c>
      <c r="D51" s="73" t="s">
        <v>981</v>
      </c>
      <c r="E51" s="73" t="s">
        <v>981</v>
      </c>
      <c r="F51" s="73" t="s">
        <v>981</v>
      </c>
      <c r="G51" s="73" t="s">
        <v>981</v>
      </c>
      <c r="H51" s="73" t="s">
        <v>981</v>
      </c>
      <c r="I51" s="76"/>
      <c r="J51" s="99" t="s">
        <v>982</v>
      </c>
    </row>
    <row r="52" spans="1:10" ht="44.45" customHeight="1">
      <c r="A52" s="91" t="s">
        <v>918</v>
      </c>
      <c r="B52" s="88" t="s">
        <v>651</v>
      </c>
      <c r="C52" s="73" t="s">
        <v>651</v>
      </c>
      <c r="D52" s="73" t="s">
        <v>651</v>
      </c>
      <c r="E52" s="73" t="s">
        <v>651</v>
      </c>
      <c r="F52" s="73" t="s">
        <v>651</v>
      </c>
      <c r="G52" s="73" t="s">
        <v>651</v>
      </c>
      <c r="H52" s="73" t="s">
        <v>651</v>
      </c>
      <c r="I52" s="76"/>
      <c r="J52" s="99" t="s">
        <v>983</v>
      </c>
    </row>
    <row r="53" spans="1:10">
      <c r="A53" s="91" t="s">
        <v>984</v>
      </c>
      <c r="B53" s="88">
        <v>10000000</v>
      </c>
      <c r="C53" s="73">
        <v>10000000</v>
      </c>
      <c r="D53" s="73">
        <v>10000000</v>
      </c>
      <c r="E53" s="73">
        <v>10000000</v>
      </c>
      <c r="F53" s="73">
        <v>10000000</v>
      </c>
      <c r="G53" s="73">
        <v>10000000</v>
      </c>
      <c r="H53" s="73">
        <v>10000000</v>
      </c>
      <c r="I53" s="76"/>
      <c r="J53" s="9" t="s">
        <v>985</v>
      </c>
    </row>
    <row r="54" spans="1:10" ht="31.9" customHeight="1">
      <c r="A54" s="91" t="s">
        <v>850</v>
      </c>
      <c r="B54" s="88">
        <v>10</v>
      </c>
      <c r="C54" s="73">
        <v>10</v>
      </c>
      <c r="D54" s="73">
        <v>10</v>
      </c>
      <c r="E54" s="73">
        <v>10</v>
      </c>
      <c r="F54" s="73">
        <v>10</v>
      </c>
      <c r="G54" s="73">
        <v>10</v>
      </c>
      <c r="H54" s="73">
        <v>10</v>
      </c>
      <c r="I54" s="76" t="s">
        <v>933</v>
      </c>
      <c r="J54" s="99" t="s">
        <v>986</v>
      </c>
    </row>
    <row r="55" spans="1:10">
      <c r="A55" s="91" t="s">
        <v>640</v>
      </c>
      <c r="B55" s="88">
        <v>0</v>
      </c>
      <c r="C55" s="73">
        <v>0</v>
      </c>
      <c r="D55" s="73">
        <v>0</v>
      </c>
      <c r="E55" s="73">
        <v>0</v>
      </c>
      <c r="F55" s="73">
        <v>0</v>
      </c>
      <c r="G55" s="73">
        <v>0</v>
      </c>
      <c r="H55" s="73">
        <v>0</v>
      </c>
      <c r="I55" s="76"/>
      <c r="J55" s="9"/>
    </row>
    <row r="56" spans="1:10" ht="14.65" thickBot="1">
      <c r="A56" s="92" t="s">
        <v>611</v>
      </c>
      <c r="B56" s="89">
        <v>25</v>
      </c>
      <c r="C56" s="75">
        <v>25</v>
      </c>
      <c r="D56" s="75">
        <v>25</v>
      </c>
      <c r="E56" s="75">
        <v>30</v>
      </c>
      <c r="F56" s="75">
        <v>30</v>
      </c>
      <c r="G56" s="75">
        <v>30</v>
      </c>
      <c r="H56" s="75">
        <v>30</v>
      </c>
      <c r="I56" s="85"/>
      <c r="J56" s="13"/>
    </row>
    <row r="57" spans="1:10" ht="14.65" thickBot="1"/>
    <row r="58" spans="1:10" ht="28.9" thickBot="1">
      <c r="A58" s="115" t="s">
        <v>987</v>
      </c>
      <c r="B58" s="86">
        <v>2020</v>
      </c>
      <c r="C58" s="80">
        <v>2025</v>
      </c>
      <c r="D58" s="80">
        <v>2030</v>
      </c>
      <c r="E58" s="80">
        <v>2035</v>
      </c>
      <c r="F58" s="80">
        <v>2040</v>
      </c>
      <c r="G58" s="80">
        <v>2045</v>
      </c>
      <c r="H58" s="80">
        <v>2050</v>
      </c>
      <c r="I58" s="107" t="s">
        <v>567</v>
      </c>
      <c r="J58" s="82" t="s">
        <v>568</v>
      </c>
    </row>
    <row r="59" spans="1:10" ht="171">
      <c r="A59" s="90" t="s">
        <v>969</v>
      </c>
      <c r="B59" s="87">
        <v>24.62</v>
      </c>
      <c r="C59" s="78">
        <v>19.260100000000001</v>
      </c>
      <c r="D59" s="78">
        <v>15.7851</v>
      </c>
      <c r="E59" s="78">
        <v>13.723599999999999</v>
      </c>
      <c r="F59" s="78">
        <v>12.3689</v>
      </c>
      <c r="G59" s="78">
        <v>11.367599999999999</v>
      </c>
      <c r="H59" s="78">
        <v>10.307399999999999</v>
      </c>
      <c r="I59" s="79" t="s">
        <v>988</v>
      </c>
      <c r="J59" s="103" t="s">
        <v>989</v>
      </c>
    </row>
    <row r="60" spans="1:10" ht="28.5">
      <c r="A60" s="108" t="s">
        <v>971</v>
      </c>
      <c r="B60" s="88" t="s">
        <v>990</v>
      </c>
      <c r="C60" s="73" t="s">
        <v>991</v>
      </c>
      <c r="D60" s="73" t="s">
        <v>992</v>
      </c>
      <c r="E60" s="73" t="s">
        <v>993</v>
      </c>
      <c r="F60" s="73" t="s">
        <v>994</v>
      </c>
      <c r="G60" s="73" t="s">
        <v>995</v>
      </c>
      <c r="H60" s="73" t="s">
        <v>996</v>
      </c>
      <c r="I60" s="76"/>
      <c r="J60" s="9"/>
    </row>
    <row r="61" spans="1:10">
      <c r="A61" s="91" t="s">
        <v>955</v>
      </c>
      <c r="B61" s="88">
        <v>0</v>
      </c>
      <c r="C61" s="73">
        <v>0</v>
      </c>
      <c r="D61" s="73">
        <v>0</v>
      </c>
      <c r="E61" s="73">
        <v>0</v>
      </c>
      <c r="F61" s="73">
        <v>0</v>
      </c>
      <c r="G61" s="73">
        <v>0</v>
      </c>
      <c r="H61" s="73">
        <v>0</v>
      </c>
      <c r="I61" s="76"/>
      <c r="J61" s="9"/>
    </row>
    <row r="62" spans="1:10" ht="18" customHeight="1">
      <c r="A62" s="91" t="s">
        <v>914</v>
      </c>
      <c r="B62" s="88" t="s">
        <v>979</v>
      </c>
      <c r="C62" s="73" t="s">
        <v>979</v>
      </c>
      <c r="D62" s="73" t="s">
        <v>979</v>
      </c>
      <c r="E62" s="73" t="s">
        <v>979</v>
      </c>
      <c r="F62" s="73" t="s">
        <v>979</v>
      </c>
      <c r="G62" s="73" t="s">
        <v>979</v>
      </c>
      <c r="H62" s="73" t="s">
        <v>979</v>
      </c>
      <c r="I62" s="76" t="s">
        <v>916</v>
      </c>
      <c r="J62" s="9"/>
    </row>
    <row r="63" spans="1:10" ht="28.5">
      <c r="A63" s="91" t="s">
        <v>980</v>
      </c>
      <c r="B63" s="88" t="s">
        <v>981</v>
      </c>
      <c r="C63" s="73" t="s">
        <v>981</v>
      </c>
      <c r="D63" s="73" t="s">
        <v>981</v>
      </c>
      <c r="E63" s="73" t="s">
        <v>981</v>
      </c>
      <c r="F63" s="73" t="s">
        <v>981</v>
      </c>
      <c r="G63" s="73" t="s">
        <v>981</v>
      </c>
      <c r="H63" s="73" t="s">
        <v>981</v>
      </c>
      <c r="I63" s="76"/>
      <c r="J63" s="99" t="s">
        <v>982</v>
      </c>
    </row>
    <row r="64" spans="1:10" ht="42.75">
      <c r="A64" s="91" t="s">
        <v>918</v>
      </c>
      <c r="B64" s="88" t="s">
        <v>651</v>
      </c>
      <c r="C64" s="73" t="s">
        <v>651</v>
      </c>
      <c r="D64" s="73" t="s">
        <v>651</v>
      </c>
      <c r="E64" s="73" t="s">
        <v>651</v>
      </c>
      <c r="F64" s="73" t="s">
        <v>651</v>
      </c>
      <c r="G64" s="73" t="s">
        <v>651</v>
      </c>
      <c r="H64" s="73" t="s">
        <v>651</v>
      </c>
      <c r="I64" s="76"/>
      <c r="J64" s="99" t="s">
        <v>983</v>
      </c>
    </row>
    <row r="65" spans="1:10">
      <c r="A65" s="91" t="s">
        <v>984</v>
      </c>
      <c r="B65" s="88">
        <v>10000000</v>
      </c>
      <c r="C65" s="73">
        <v>10000000</v>
      </c>
      <c r="D65" s="73">
        <v>10000000</v>
      </c>
      <c r="E65" s="73">
        <v>10000000</v>
      </c>
      <c r="F65" s="73">
        <v>10000000</v>
      </c>
      <c r="G65" s="73">
        <v>10000000</v>
      </c>
      <c r="H65" s="73">
        <v>10000000</v>
      </c>
      <c r="I65" s="76"/>
      <c r="J65" s="9" t="s">
        <v>985</v>
      </c>
    </row>
    <row r="66" spans="1:10" ht="16.899999999999999" customHeight="1">
      <c r="A66" s="91" t="s">
        <v>850</v>
      </c>
      <c r="B66" s="88">
        <v>10</v>
      </c>
      <c r="C66" s="73">
        <v>10</v>
      </c>
      <c r="D66" s="73">
        <v>10</v>
      </c>
      <c r="E66" s="73">
        <v>10</v>
      </c>
      <c r="F66" s="73">
        <v>10</v>
      </c>
      <c r="G66" s="73">
        <v>10</v>
      </c>
      <c r="H66" s="73">
        <v>10</v>
      </c>
      <c r="I66" s="76" t="s">
        <v>933</v>
      </c>
      <c r="J66" s="99" t="s">
        <v>986</v>
      </c>
    </row>
    <row r="67" spans="1:10">
      <c r="A67" s="91" t="s">
        <v>640</v>
      </c>
      <c r="B67" s="88">
        <v>0</v>
      </c>
      <c r="C67" s="73">
        <v>0</v>
      </c>
      <c r="D67" s="73">
        <v>0</v>
      </c>
      <c r="E67" s="73">
        <v>0</v>
      </c>
      <c r="F67" s="73">
        <v>0</v>
      </c>
      <c r="G67" s="73">
        <v>0</v>
      </c>
      <c r="H67" s="73">
        <v>0</v>
      </c>
      <c r="I67" s="76"/>
      <c r="J67" s="9"/>
    </row>
    <row r="68" spans="1:10" ht="14.65" thickBot="1">
      <c r="A68" s="92" t="s">
        <v>611</v>
      </c>
      <c r="B68" s="89">
        <v>25</v>
      </c>
      <c r="C68" s="75">
        <v>25</v>
      </c>
      <c r="D68" s="75">
        <v>25</v>
      </c>
      <c r="E68" s="75">
        <v>30</v>
      </c>
      <c r="F68" s="75">
        <v>30</v>
      </c>
      <c r="G68" s="75">
        <v>30</v>
      </c>
      <c r="H68" s="75">
        <v>30</v>
      </c>
      <c r="I68" s="85"/>
      <c r="J68" s="13"/>
    </row>
  </sheetData>
  <mergeCells count="41">
    <mergeCell ref="I47:I49"/>
    <mergeCell ref="I40:I41"/>
    <mergeCell ref="I42:I43"/>
    <mergeCell ref="I17:I18"/>
    <mergeCell ref="A37:A39"/>
    <mergeCell ref="B37:B39"/>
    <mergeCell ref="C37:C39"/>
    <mergeCell ref="D37:D39"/>
    <mergeCell ref="E37:E39"/>
    <mergeCell ref="F37:F39"/>
    <mergeCell ref="G37:G39"/>
    <mergeCell ref="H37:H39"/>
    <mergeCell ref="I30:I31"/>
    <mergeCell ref="I32:I33"/>
    <mergeCell ref="I4:I5"/>
    <mergeCell ref="F28:F29"/>
    <mergeCell ref="G28:G29"/>
    <mergeCell ref="H28:H29"/>
    <mergeCell ref="A28:A29"/>
    <mergeCell ref="B28:B29"/>
    <mergeCell ref="C28:C29"/>
    <mergeCell ref="D28:D29"/>
    <mergeCell ref="E28:E29"/>
    <mergeCell ref="I8:I9"/>
    <mergeCell ref="I21:I22"/>
    <mergeCell ref="F2:F3"/>
    <mergeCell ref="G2:G3"/>
    <mergeCell ref="H2:H3"/>
    <mergeCell ref="B15:B16"/>
    <mergeCell ref="C15:C16"/>
    <mergeCell ref="D15:D16"/>
    <mergeCell ref="E15:E16"/>
    <mergeCell ref="F15:F16"/>
    <mergeCell ref="G15:G16"/>
    <mergeCell ref="H15:H16"/>
    <mergeCell ref="E2:E3"/>
    <mergeCell ref="A2:A3"/>
    <mergeCell ref="A15:A16"/>
    <mergeCell ref="B2:B3"/>
    <mergeCell ref="C2:C3"/>
    <mergeCell ref="D2:D3"/>
  </mergeCells>
  <phoneticPr fontId="2" type="noConversion"/>
  <hyperlinks>
    <hyperlink ref="I2" r:id="rId1" display="https://ars.els-cdn.com/content/image/1-s2.0-S1364032121008352-mmc1.pdf" xr:uid="{E9B00093-12DF-4B90-979A-5FCA8402B046}"/>
    <hyperlink ref="I6" r:id="rId2" display="https://ars.els-cdn.com/content/image/1-s2.0-S0360544221007167-mmc1.pdf" xr:uid="{EABF3BCA-20AE-4B5E-B09D-05F5DF1DBE1F}"/>
    <hyperlink ref="I15" r:id="rId3" display="https://ars.els-cdn.com/content/image/1-s2.0-S1364032121008352-mmc1.pdf" xr:uid="{9C9D300F-32AC-42F4-BF70-85742C6F4A77}"/>
    <hyperlink ref="I19" r:id="rId4" display="https://ars.els-cdn.com/content/image/1-s2.0-S0360544221007167-mmc1.pdf" xr:uid="{B7157A43-4E5F-43A0-8A1B-2E4FE1B6879A}"/>
    <hyperlink ref="I3" r:id="rId5" display="https://aip.scitation.org/doi/pdf/10.1063/1.4984535" xr:uid="{BC7BA83B-0DF0-473C-B277-8F83D93B71D3}"/>
    <hyperlink ref="I16" r:id="rId6" display="https://aip.scitation.org/doi/pdf/10.1063/1.4984535" xr:uid="{1B0A66F2-510E-457E-8DC9-40671E2B8563}"/>
    <hyperlink ref="I10" r:id="rId7" xr:uid="{F1E2702C-8CA4-417C-A09B-8DD7DD60CADD}"/>
    <hyperlink ref="I23" r:id="rId8" xr:uid="{B0F96FBC-1126-4C72-B634-D5964E62F18B}"/>
    <hyperlink ref="I4" r:id="rId9" display="https://ars.els-cdn.com/content/image/1-s2.0-S1364032121008352-mmc1.pdf" xr:uid="{923C13DB-6024-4105-A3C7-6BB44EF1BEBD}"/>
    <hyperlink ref="I12" r:id="rId10" display="https://ars.els-cdn.com/content/image/1-s2.0-S1364032121008352-mmc1.pdf" xr:uid="{F6022AF7-6C07-4464-BE3A-A4FCC3600541}"/>
    <hyperlink ref="I25" r:id="rId11" display="https://ars.els-cdn.com/content/image/1-s2.0-S1364032121008352-mmc1.pdf" xr:uid="{CC5EE1B2-C97B-4684-9E04-688036D4E20E}"/>
    <hyperlink ref="I17" r:id="rId12" display="https://ars.els-cdn.com/content/image/1-s2.0-S1364032121008352-mmc1.pdf" xr:uid="{B00F011D-1A4F-46A8-92BC-BB248880041B}"/>
    <hyperlink ref="I28" r:id="rId13" display="https://ars.els-cdn.com/content/image/1-s2.0-S1364032121008352-mmc1.pdf" xr:uid="{4305F74E-39DA-49BB-9BA4-F873A52EDFF3}"/>
    <hyperlink ref="I29" r:id="rId14" display="https://aip.scitation.org/doi/pdf/10.1063/1.4984535" xr:uid="{E42A944E-28B5-4CDD-AEC2-18EAB199D245}"/>
    <hyperlink ref="I34" r:id="rId15" display="https://ars.els-cdn.com/content/image/1-s2.0-S1364032121008352-mmc1.pdf" xr:uid="{1DF94DB6-6780-4831-B351-D43EC8747E0D}"/>
    <hyperlink ref="I30" r:id="rId16" display="https://ars.els-cdn.com/content/image/1-s2.0-S1364032121008352-mmc1.pdf" xr:uid="{08044BEE-6384-4ADC-A30B-02F933327C97}"/>
    <hyperlink ref="I32" r:id="rId17" display="https://aip.scitation.org/doi/pdf/10.1063/1.4984535" xr:uid="{048272D4-2EAF-47FC-A818-25D9BBDA51E8}"/>
    <hyperlink ref="I37" r:id="rId18" display="https://ars.els-cdn.com/content/image/1-s2.0-S1364032121008352-mmc1.pdf" xr:uid="{EE48B355-12C7-4CC0-9BA2-F2EA881E368D}"/>
    <hyperlink ref="I38" r:id="rId19" display="https://aip.scitation.org/doi/pdf/10.1063/1.4984535" xr:uid="{7BEB4B4E-82A6-4628-9A49-AFC41F864C44}"/>
    <hyperlink ref="I44" r:id="rId20" display="https://ars.els-cdn.com/content/image/1-s2.0-S1364032121008352-mmc1.pdf" xr:uid="{D4CB4F41-885C-4F3A-A0C7-AB56AEEC6AED}"/>
    <hyperlink ref="I40" r:id="rId21" display="https://ars.els-cdn.com/content/image/1-s2.0-S1364032121008352-mmc1.pdf" xr:uid="{DDA9CCC3-4A44-4E50-8C7A-1B7B19899296}"/>
    <hyperlink ref="I42" r:id="rId22" display="https://aip.scitation.org/doi/pdf/10.1063/1.4984535" xr:uid="{112A557D-C987-4BE5-80EC-EA28A6B1A134}"/>
    <hyperlink ref="I39" r:id="rId23" xr:uid="{2CE550ED-5088-4446-B3C4-E5E290FA8519}"/>
    <hyperlink ref="I8" r:id="rId24" display="https://ieeexplore-ieee-org.uchile.idm.oclc.org/document/9282089" xr:uid="{9E5CA8BC-D96B-4B38-9092-499AACF22FB7}"/>
    <hyperlink ref="I21" r:id="rId25" display="https://ieeexplore-ieee-org.uchile.idm.oclc.org/document/9282089" xr:uid="{D5E35236-76E6-4458-920E-F2D5E3785365}"/>
    <hyperlink ref="I54" r:id="rId26" display="https://aip.scitation.org/doi/pdf/10.1063/1.4984535" xr:uid="{AF4D239F-D159-4A98-9BAF-1BBBD4E89505}"/>
    <hyperlink ref="I50" r:id="rId27" display="https://ars.els-cdn.com/content/image/1-s2.0-S0360544221007167-mmc1.pdf" xr:uid="{A5B9D2DE-6C30-43E7-9CCC-A815330D5BB0}"/>
    <hyperlink ref="I47" r:id="rId28" xr:uid="{314B8F8D-6C62-4A59-8091-1EAE464A8212}"/>
    <hyperlink ref="I66" r:id="rId29" display="https://aip.scitation.org/doi/pdf/10.1063/1.4984535" xr:uid="{6A56BC62-B542-4A0C-93E6-759A1724226F}"/>
    <hyperlink ref="I62" r:id="rId30" display="https://ars.els-cdn.com/content/image/1-s2.0-S0360544221007167-mmc1.pdf" xr:uid="{745B5183-812E-440D-8635-49101BD957BF}"/>
    <hyperlink ref="I59" r:id="rId31" xr:uid="{3CB112EB-789F-4D0F-A675-E7D875E7D058}"/>
    <hyperlink ref="I24" r:id="rId32" display="https://www.mdpi.com/1996-1073/14/17/5338" xr:uid="{A4EC11D4-17C9-45E4-8BB3-F78FDA62B10F}"/>
  </hyperlinks>
  <pageMargins left="0.7" right="0.7" top="0.75" bottom="0.75" header="0.3" footer="0.3"/>
  <pageSetup orientation="portrait" r:id="rId3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75372-B5B4-4EE2-9B20-9680CDA0A108}">
  <sheetPr codeName="Hoja11"/>
  <dimension ref="A1:J83"/>
  <sheetViews>
    <sheetView topLeftCell="A40" workbookViewId="0">
      <selection activeCell="A32" sqref="A32:A33"/>
    </sheetView>
  </sheetViews>
  <sheetFormatPr defaultColWidth="11.42578125" defaultRowHeight="14.25"/>
  <cols>
    <col min="1" max="1" width="32.140625" bestFit="1" customWidth="1"/>
    <col min="2" max="2" width="9.7109375" bestFit="1" customWidth="1"/>
    <col min="3" max="3" width="10.7109375" bestFit="1" customWidth="1"/>
    <col min="4" max="6" width="11.7109375" bestFit="1" customWidth="1"/>
    <col min="7" max="8" width="9.7109375" bestFit="1" customWidth="1"/>
    <col min="9" max="9" width="11.5703125" style="71"/>
    <col min="10" max="10" width="87.7109375" customWidth="1"/>
  </cols>
  <sheetData>
    <row r="1" spans="1:10" ht="14.65" thickBot="1">
      <c r="A1" s="114" t="s">
        <v>997</v>
      </c>
      <c r="B1" s="86">
        <v>2020</v>
      </c>
      <c r="C1" s="80">
        <v>2025</v>
      </c>
      <c r="D1" s="80">
        <v>2030</v>
      </c>
      <c r="E1" s="80">
        <v>2035</v>
      </c>
      <c r="F1" s="80">
        <v>2040</v>
      </c>
      <c r="G1" s="80">
        <v>2045</v>
      </c>
      <c r="H1" s="80">
        <v>2050</v>
      </c>
      <c r="I1" s="81" t="s">
        <v>567</v>
      </c>
      <c r="J1" s="82" t="s">
        <v>568</v>
      </c>
    </row>
    <row r="2" spans="1:10" ht="91.9" customHeight="1">
      <c r="A2" s="111" t="s">
        <v>998</v>
      </c>
      <c r="B2" s="87">
        <v>3.1939000000000002E-2</v>
      </c>
      <c r="C2" s="78">
        <v>2.1999999999999999E-2</v>
      </c>
      <c r="D2" s="78">
        <v>1.8100000000000002E-2</v>
      </c>
      <c r="E2" s="78">
        <v>1.668E-2</v>
      </c>
      <c r="F2" s="78">
        <v>1.5259999999999999E-2</v>
      </c>
      <c r="G2" s="78">
        <v>1.4019999999999999E-2</v>
      </c>
      <c r="H2" s="78">
        <v>1.3485E-2</v>
      </c>
      <c r="I2" s="93" t="s">
        <v>999</v>
      </c>
      <c r="J2" s="98" t="s">
        <v>1000</v>
      </c>
    </row>
    <row r="3" spans="1:10" ht="44.45" customHeight="1">
      <c r="A3" s="212" t="s">
        <v>1001</v>
      </c>
      <c r="B3" s="213">
        <v>60</v>
      </c>
      <c r="C3" s="211">
        <v>64</v>
      </c>
      <c r="D3" s="211">
        <v>68</v>
      </c>
      <c r="E3" s="211">
        <v>68</v>
      </c>
      <c r="F3" s="211">
        <v>70</v>
      </c>
      <c r="G3" s="211">
        <v>71</v>
      </c>
      <c r="H3" s="211">
        <v>72</v>
      </c>
      <c r="I3" s="94" t="s">
        <v>1002</v>
      </c>
      <c r="J3" s="214" t="s">
        <v>1003</v>
      </c>
    </row>
    <row r="4" spans="1:10" ht="3.6" customHeight="1">
      <c r="A4" s="212"/>
      <c r="B4" s="213"/>
      <c r="C4" s="211"/>
      <c r="D4" s="211"/>
      <c r="E4" s="211"/>
      <c r="F4" s="211"/>
      <c r="G4" s="211"/>
      <c r="H4" s="211"/>
      <c r="I4" s="94" t="s">
        <v>1004</v>
      </c>
      <c r="J4" s="214"/>
    </row>
    <row r="5" spans="1:10" ht="15.6" customHeight="1">
      <c r="A5" s="112" t="s">
        <v>1005</v>
      </c>
      <c r="B5" s="88">
        <v>90</v>
      </c>
      <c r="C5" s="73">
        <v>90</v>
      </c>
      <c r="D5" s="73">
        <v>90</v>
      </c>
      <c r="E5" s="73">
        <v>90</v>
      </c>
      <c r="F5" s="73">
        <v>90</v>
      </c>
      <c r="G5" s="73">
        <v>90</v>
      </c>
      <c r="H5" s="73">
        <v>90</v>
      </c>
      <c r="I5" s="94" t="s">
        <v>1002</v>
      </c>
      <c r="J5" s="9"/>
    </row>
    <row r="6" spans="1:10">
      <c r="A6" s="112" t="s">
        <v>1006</v>
      </c>
      <c r="B6" s="88">
        <v>54</v>
      </c>
      <c r="C6" s="73">
        <v>57.6</v>
      </c>
      <c r="D6" s="73">
        <v>61.2</v>
      </c>
      <c r="E6" s="73">
        <v>61.2</v>
      </c>
      <c r="F6" s="73">
        <v>63</v>
      </c>
      <c r="G6" s="73">
        <v>63.9</v>
      </c>
      <c r="H6" s="73">
        <v>64.8</v>
      </c>
      <c r="I6" s="97"/>
      <c r="J6" s="9" t="s">
        <v>1007</v>
      </c>
    </row>
    <row r="7" spans="1:10">
      <c r="A7" s="112" t="s">
        <v>1008</v>
      </c>
      <c r="B7" s="88">
        <v>1.1200000000000001</v>
      </c>
      <c r="C7" s="73">
        <v>1.1200000000000001</v>
      </c>
      <c r="D7" s="73">
        <v>1.1200000000000001</v>
      </c>
      <c r="E7" s="73">
        <v>1.1200000000000001</v>
      </c>
      <c r="F7" s="73">
        <v>1.1200000000000001</v>
      </c>
      <c r="G7" s="73">
        <v>1.1200000000000001</v>
      </c>
      <c r="H7" s="73">
        <v>1.1200000000000001</v>
      </c>
      <c r="I7" s="217" t="s">
        <v>1002</v>
      </c>
      <c r="J7" s="9"/>
    </row>
    <row r="8" spans="1:10">
      <c r="A8" s="91" t="s">
        <v>1009</v>
      </c>
      <c r="B8" s="88">
        <v>6.2219999999999998E-2</v>
      </c>
      <c r="C8" s="73">
        <v>0.06</v>
      </c>
      <c r="D8" s="73">
        <v>5.5199999999999999E-2</v>
      </c>
      <c r="E8" s="73">
        <v>5.5199999999999999E-2</v>
      </c>
      <c r="F8" s="73">
        <v>5.3400000000000003E-2</v>
      </c>
      <c r="G8" s="73">
        <v>5.16E-2</v>
      </c>
      <c r="H8" s="73">
        <v>5.16E-2</v>
      </c>
      <c r="I8" s="217"/>
      <c r="J8" s="99" t="s">
        <v>1010</v>
      </c>
    </row>
    <row r="9" spans="1:10" ht="16.149999999999999" customHeight="1">
      <c r="A9" s="112" t="s">
        <v>611</v>
      </c>
      <c r="B9" s="88">
        <v>12</v>
      </c>
      <c r="C9" s="73">
        <v>12</v>
      </c>
      <c r="D9" s="73">
        <v>12</v>
      </c>
      <c r="E9" s="73">
        <v>12</v>
      </c>
      <c r="F9" s="73">
        <v>12</v>
      </c>
      <c r="G9" s="73">
        <v>12</v>
      </c>
      <c r="H9" s="73">
        <v>12</v>
      </c>
      <c r="I9" s="94" t="s">
        <v>1004</v>
      </c>
      <c r="J9" s="9" t="s">
        <v>1011</v>
      </c>
    </row>
    <row r="10" spans="1:10" ht="19.149999999999999" customHeight="1">
      <c r="A10" s="91" t="s">
        <v>1012</v>
      </c>
      <c r="B10" s="88">
        <v>60</v>
      </c>
      <c r="C10" s="73">
        <v>60</v>
      </c>
      <c r="D10" s="73">
        <v>60</v>
      </c>
      <c r="E10" s="73">
        <v>60</v>
      </c>
      <c r="F10" s="73">
        <v>60</v>
      </c>
      <c r="G10" s="73">
        <v>60</v>
      </c>
      <c r="H10" s="73">
        <v>60</v>
      </c>
      <c r="I10" s="94" t="s">
        <v>1013</v>
      </c>
      <c r="J10" s="9"/>
    </row>
    <row r="11" spans="1:10" ht="14.65" thickBot="1">
      <c r="A11" s="92" t="s">
        <v>1014</v>
      </c>
      <c r="B11" s="89">
        <v>350</v>
      </c>
      <c r="C11" s="75">
        <v>350</v>
      </c>
      <c r="D11" s="75">
        <v>350</v>
      </c>
      <c r="E11" s="75">
        <v>350</v>
      </c>
      <c r="F11" s="75">
        <v>350</v>
      </c>
      <c r="G11" s="75">
        <v>350</v>
      </c>
      <c r="H11" s="75">
        <v>350</v>
      </c>
      <c r="I11" s="100"/>
      <c r="J11" s="13" t="s">
        <v>1015</v>
      </c>
    </row>
    <row r="12" spans="1:10" ht="14.65" thickBot="1">
      <c r="A12" s="69"/>
      <c r="B12" s="35"/>
      <c r="C12" s="35"/>
      <c r="D12" s="35"/>
      <c r="E12" s="35"/>
      <c r="F12" s="35"/>
      <c r="G12" s="35"/>
      <c r="H12" s="35"/>
      <c r="I12" s="96"/>
    </row>
    <row r="13" spans="1:10" ht="14.65" thickBot="1">
      <c r="A13" s="114" t="s">
        <v>466</v>
      </c>
      <c r="B13" s="86">
        <v>2020</v>
      </c>
      <c r="C13" s="80">
        <v>2025</v>
      </c>
      <c r="D13" s="80">
        <v>2030</v>
      </c>
      <c r="E13" s="80">
        <v>2035</v>
      </c>
      <c r="F13" s="80">
        <v>2040</v>
      </c>
      <c r="G13" s="80">
        <v>2045</v>
      </c>
      <c r="H13" s="80">
        <v>2050</v>
      </c>
      <c r="I13" s="81" t="s">
        <v>567</v>
      </c>
      <c r="J13" s="82" t="s">
        <v>568</v>
      </c>
    </row>
    <row r="14" spans="1:10">
      <c r="A14" s="111" t="s">
        <v>1016</v>
      </c>
      <c r="B14" s="78">
        <v>763.89</v>
      </c>
      <c r="C14" s="78">
        <v>763.89</v>
      </c>
      <c r="D14" s="78">
        <v>763.89</v>
      </c>
      <c r="E14" s="78">
        <v>763.89</v>
      </c>
      <c r="F14" s="78">
        <v>763.89</v>
      </c>
      <c r="G14" s="78">
        <v>763.89</v>
      </c>
      <c r="H14" s="78">
        <v>763.89</v>
      </c>
      <c r="I14" s="210" t="s">
        <v>854</v>
      </c>
      <c r="J14" s="83"/>
    </row>
    <row r="15" spans="1:10">
      <c r="A15" s="91" t="s">
        <v>1017</v>
      </c>
      <c r="B15" s="73">
        <v>720</v>
      </c>
      <c r="C15" s="73">
        <v>720</v>
      </c>
      <c r="D15" s="73">
        <v>720</v>
      </c>
      <c r="E15" s="73">
        <v>720</v>
      </c>
      <c r="F15" s="73">
        <v>720</v>
      </c>
      <c r="G15" s="73">
        <v>720</v>
      </c>
      <c r="H15" s="73">
        <v>720</v>
      </c>
      <c r="I15" s="217"/>
      <c r="J15" s="9"/>
    </row>
    <row r="16" spans="1:10" ht="28.5">
      <c r="A16" s="108" t="s">
        <v>844</v>
      </c>
      <c r="B16" s="73" t="s">
        <v>1018</v>
      </c>
      <c r="C16" s="73" t="s">
        <v>1018</v>
      </c>
      <c r="D16" s="73" t="s">
        <v>1018</v>
      </c>
      <c r="E16" s="73" t="s">
        <v>1018</v>
      </c>
      <c r="F16" s="73" t="s">
        <v>1018</v>
      </c>
      <c r="G16" s="73" t="s">
        <v>1018</v>
      </c>
      <c r="H16" s="73" t="s">
        <v>1018</v>
      </c>
      <c r="I16" s="217"/>
      <c r="J16" s="9"/>
    </row>
    <row r="17" spans="1:10">
      <c r="A17" s="91" t="s">
        <v>629</v>
      </c>
      <c r="B17" s="73">
        <v>0</v>
      </c>
      <c r="C17" s="73">
        <v>0</v>
      </c>
      <c r="D17" s="73">
        <v>0</v>
      </c>
      <c r="E17" s="73">
        <v>0</v>
      </c>
      <c r="F17" s="73">
        <v>0</v>
      </c>
      <c r="G17" s="73">
        <v>0</v>
      </c>
      <c r="H17" s="73">
        <v>0</v>
      </c>
      <c r="I17" s="217"/>
      <c r="J17" s="9"/>
    </row>
    <row r="18" spans="1:10" ht="15.6" customHeight="1">
      <c r="A18" s="91" t="s">
        <v>611</v>
      </c>
      <c r="B18" s="73">
        <v>30</v>
      </c>
      <c r="C18" s="73">
        <v>30</v>
      </c>
      <c r="D18" s="73">
        <v>30</v>
      </c>
      <c r="E18" s="73">
        <v>30</v>
      </c>
      <c r="F18" s="73">
        <v>30</v>
      </c>
      <c r="G18" s="73">
        <v>30</v>
      </c>
      <c r="H18" s="73">
        <v>30</v>
      </c>
      <c r="I18" s="94" t="s">
        <v>826</v>
      </c>
      <c r="J18" s="9"/>
    </row>
    <row r="19" spans="1:10">
      <c r="A19" s="91" t="s">
        <v>575</v>
      </c>
      <c r="B19" s="73">
        <v>0</v>
      </c>
      <c r="C19" s="73">
        <v>0</v>
      </c>
      <c r="D19" s="73">
        <v>0</v>
      </c>
      <c r="E19" s="73">
        <v>0</v>
      </c>
      <c r="F19" s="73">
        <v>0</v>
      </c>
      <c r="G19" s="73">
        <v>0</v>
      </c>
      <c r="H19" s="73">
        <v>0</v>
      </c>
      <c r="I19" s="97"/>
      <c r="J19" s="9"/>
    </row>
    <row r="20" spans="1:10" ht="13.9" customHeight="1" thickBot="1">
      <c r="A20" s="92" t="s">
        <v>1019</v>
      </c>
      <c r="B20" s="75">
        <v>2</v>
      </c>
      <c r="C20" s="75">
        <v>2</v>
      </c>
      <c r="D20" s="75">
        <v>2</v>
      </c>
      <c r="E20" s="75">
        <v>2</v>
      </c>
      <c r="F20" s="75">
        <v>2</v>
      </c>
      <c r="G20" s="75">
        <v>2</v>
      </c>
      <c r="H20" s="75">
        <v>2</v>
      </c>
      <c r="I20" s="95" t="s">
        <v>712</v>
      </c>
      <c r="J20" s="13" t="s">
        <v>1020</v>
      </c>
    </row>
    <row r="21" spans="1:10" ht="14.65" thickBot="1">
      <c r="B21" s="35"/>
      <c r="C21" s="35"/>
      <c r="D21" s="35"/>
      <c r="E21" s="35"/>
      <c r="F21" s="35"/>
      <c r="G21" s="35"/>
      <c r="H21" s="35"/>
      <c r="I21" s="96"/>
    </row>
    <row r="22" spans="1:10" ht="14.65" thickBot="1">
      <c r="A22" s="114" t="s">
        <v>470</v>
      </c>
      <c r="B22" s="86">
        <v>2020</v>
      </c>
      <c r="C22" s="80">
        <v>2025</v>
      </c>
      <c r="D22" s="80">
        <v>2030</v>
      </c>
      <c r="E22" s="80">
        <v>2035</v>
      </c>
      <c r="F22" s="80">
        <v>2040</v>
      </c>
      <c r="G22" s="80">
        <v>2045</v>
      </c>
      <c r="H22" s="80">
        <v>2050</v>
      </c>
      <c r="I22" s="81" t="s">
        <v>567</v>
      </c>
      <c r="J22" s="82" t="s">
        <v>568</v>
      </c>
    </row>
    <row r="23" spans="1:10">
      <c r="A23" s="111" t="s">
        <v>1016</v>
      </c>
      <c r="B23" s="87">
        <v>471.33300000000003</v>
      </c>
      <c r="C23" s="78">
        <v>471.33300000000003</v>
      </c>
      <c r="D23" s="78">
        <v>471.33300000000003</v>
      </c>
      <c r="E23" s="78">
        <v>471.33300000000003</v>
      </c>
      <c r="F23" s="78">
        <v>471.33300000000003</v>
      </c>
      <c r="G23" s="78">
        <v>471.33300000000003</v>
      </c>
      <c r="H23" s="78">
        <v>471.33300000000003</v>
      </c>
      <c r="I23" s="210" t="s">
        <v>712</v>
      </c>
      <c r="J23" s="98" t="s">
        <v>1021</v>
      </c>
    </row>
    <row r="24" spans="1:10">
      <c r="A24" s="91" t="s">
        <v>1017</v>
      </c>
      <c r="B24" s="88">
        <v>900</v>
      </c>
      <c r="C24" s="73">
        <v>900</v>
      </c>
      <c r="D24" s="73">
        <v>900</v>
      </c>
      <c r="E24" s="73">
        <v>900</v>
      </c>
      <c r="F24" s="73">
        <v>900</v>
      </c>
      <c r="G24" s="73">
        <v>900</v>
      </c>
      <c r="H24" s="73">
        <v>900</v>
      </c>
      <c r="I24" s="217"/>
      <c r="J24" s="9"/>
    </row>
    <row r="25" spans="1:10" ht="28.5">
      <c r="A25" s="108" t="s">
        <v>844</v>
      </c>
      <c r="B25" s="88" t="s">
        <v>1022</v>
      </c>
      <c r="C25" s="73" t="s">
        <v>1022</v>
      </c>
      <c r="D25" s="73" t="s">
        <v>1022</v>
      </c>
      <c r="E25" s="73" t="s">
        <v>1022</v>
      </c>
      <c r="F25" s="73" t="s">
        <v>1022</v>
      </c>
      <c r="G25" s="73" t="s">
        <v>1022</v>
      </c>
      <c r="H25" s="73" t="s">
        <v>1022</v>
      </c>
      <c r="I25" s="217"/>
      <c r="J25" s="9"/>
    </row>
    <row r="26" spans="1:10">
      <c r="A26" s="91" t="s">
        <v>629</v>
      </c>
      <c r="B26" s="88">
        <v>0</v>
      </c>
      <c r="C26" s="73">
        <v>0</v>
      </c>
      <c r="D26" s="73">
        <v>0</v>
      </c>
      <c r="E26" s="73">
        <v>0</v>
      </c>
      <c r="F26" s="73">
        <v>0</v>
      </c>
      <c r="G26" s="73">
        <v>0</v>
      </c>
      <c r="H26" s="73">
        <v>0</v>
      </c>
      <c r="I26" s="97"/>
      <c r="J26" s="9"/>
    </row>
    <row r="27" spans="1:10" ht="14.45" customHeight="1">
      <c r="A27" s="91" t="s">
        <v>611</v>
      </c>
      <c r="B27" s="88">
        <v>30</v>
      </c>
      <c r="C27" s="73">
        <v>30</v>
      </c>
      <c r="D27" s="73">
        <v>30</v>
      </c>
      <c r="E27" s="73">
        <v>30</v>
      </c>
      <c r="F27" s="73">
        <v>30</v>
      </c>
      <c r="G27" s="73">
        <v>30</v>
      </c>
      <c r="H27" s="73">
        <v>30</v>
      </c>
      <c r="I27" s="94" t="s">
        <v>826</v>
      </c>
      <c r="J27" s="9" t="s">
        <v>1023</v>
      </c>
    </row>
    <row r="28" spans="1:10">
      <c r="A28" s="91" t="s">
        <v>575</v>
      </c>
      <c r="B28" s="88">
        <v>0</v>
      </c>
      <c r="C28" s="73">
        <v>0</v>
      </c>
      <c r="D28" s="73">
        <v>0</v>
      </c>
      <c r="E28" s="73">
        <v>0</v>
      </c>
      <c r="F28" s="73">
        <v>0</v>
      </c>
      <c r="G28" s="73">
        <v>0</v>
      </c>
      <c r="H28" s="73">
        <v>0</v>
      </c>
      <c r="I28" s="97"/>
      <c r="J28" s="9"/>
    </row>
    <row r="29" spans="1:10" ht="15" customHeight="1" thickBot="1">
      <c r="A29" s="92" t="s">
        <v>1019</v>
      </c>
      <c r="B29" s="89">
        <v>2</v>
      </c>
      <c r="C29" s="75">
        <v>2</v>
      </c>
      <c r="D29" s="75">
        <v>2</v>
      </c>
      <c r="E29" s="75">
        <v>2</v>
      </c>
      <c r="F29" s="75">
        <v>2</v>
      </c>
      <c r="G29" s="75">
        <v>2</v>
      </c>
      <c r="H29" s="75">
        <v>2</v>
      </c>
      <c r="I29" s="95" t="s">
        <v>712</v>
      </c>
      <c r="J29" s="13" t="s">
        <v>1020</v>
      </c>
    </row>
    <row r="30" spans="1:10" ht="14.65" thickBot="1">
      <c r="B30" s="35"/>
      <c r="C30" s="35"/>
      <c r="D30" s="35"/>
      <c r="E30" s="35"/>
      <c r="F30" s="35"/>
      <c r="G30" s="35"/>
      <c r="H30" s="35"/>
      <c r="I30" s="96"/>
    </row>
    <row r="31" spans="1:10" ht="14.65" thickBot="1">
      <c r="A31" s="114" t="s">
        <v>474</v>
      </c>
      <c r="B31" s="86">
        <v>2020</v>
      </c>
      <c r="C31" s="80">
        <v>2025</v>
      </c>
      <c r="D31" s="80">
        <v>2030</v>
      </c>
      <c r="E31" s="80">
        <v>2035</v>
      </c>
      <c r="F31" s="80">
        <v>2040</v>
      </c>
      <c r="G31" s="80">
        <v>2045</v>
      </c>
      <c r="H31" s="80">
        <v>2050</v>
      </c>
      <c r="I31" s="81" t="s">
        <v>567</v>
      </c>
      <c r="J31" s="82" t="s">
        <v>568</v>
      </c>
    </row>
    <row r="32" spans="1:10" ht="16.899999999999999" customHeight="1">
      <c r="A32" s="111" t="s">
        <v>1016</v>
      </c>
      <c r="B32" s="87" t="s">
        <v>651</v>
      </c>
      <c r="C32" s="78">
        <v>450</v>
      </c>
      <c r="D32" s="78">
        <v>450</v>
      </c>
      <c r="E32" s="78">
        <v>450</v>
      </c>
      <c r="F32" s="78">
        <v>450</v>
      </c>
      <c r="G32" s="78">
        <v>450</v>
      </c>
      <c r="H32" s="78">
        <v>450</v>
      </c>
      <c r="I32" s="93" t="s">
        <v>826</v>
      </c>
      <c r="J32" s="83"/>
    </row>
    <row r="33" spans="1:10">
      <c r="A33" s="91" t="s">
        <v>1017</v>
      </c>
      <c r="B33" s="88" t="s">
        <v>651</v>
      </c>
      <c r="C33" s="73">
        <v>1000</v>
      </c>
      <c r="D33" s="73">
        <v>1000</v>
      </c>
      <c r="E33" s="73">
        <v>1000</v>
      </c>
      <c r="F33" s="73">
        <v>1000</v>
      </c>
      <c r="G33" s="73">
        <v>1000</v>
      </c>
      <c r="H33" s="73">
        <v>1000</v>
      </c>
      <c r="I33" s="97"/>
      <c r="J33" s="9"/>
    </row>
    <row r="34" spans="1:10" ht="32.450000000000003" customHeight="1">
      <c r="A34" s="108" t="s">
        <v>844</v>
      </c>
      <c r="B34" s="88" t="s">
        <v>651</v>
      </c>
      <c r="C34" s="73" t="s">
        <v>1024</v>
      </c>
      <c r="D34" s="73" t="s">
        <v>1024</v>
      </c>
      <c r="E34" s="73" t="s">
        <v>1024</v>
      </c>
      <c r="F34" s="73" t="s">
        <v>1024</v>
      </c>
      <c r="G34" s="73" t="s">
        <v>1024</v>
      </c>
      <c r="H34" s="73" t="s">
        <v>1024</v>
      </c>
      <c r="I34" s="94" t="s">
        <v>1025</v>
      </c>
      <c r="J34" s="9"/>
    </row>
    <row r="35" spans="1:10">
      <c r="A35" s="91" t="s">
        <v>629</v>
      </c>
      <c r="B35" s="88" t="s">
        <v>651</v>
      </c>
      <c r="C35" s="73">
        <v>0</v>
      </c>
      <c r="D35" s="73">
        <v>0</v>
      </c>
      <c r="E35" s="73">
        <v>0</v>
      </c>
      <c r="F35" s="73">
        <v>0</v>
      </c>
      <c r="G35" s="73">
        <v>0</v>
      </c>
      <c r="H35" s="73">
        <v>0</v>
      </c>
      <c r="I35" s="97"/>
      <c r="J35" s="9"/>
    </row>
    <row r="36" spans="1:10" ht="14.45" customHeight="1">
      <c r="A36" s="91" t="s">
        <v>611</v>
      </c>
      <c r="B36" s="88" t="s">
        <v>651</v>
      </c>
      <c r="C36" s="73">
        <v>30</v>
      </c>
      <c r="D36" s="73">
        <v>30</v>
      </c>
      <c r="E36" s="73">
        <v>30</v>
      </c>
      <c r="F36" s="73">
        <v>30</v>
      </c>
      <c r="G36" s="73">
        <v>30</v>
      </c>
      <c r="H36" s="73">
        <v>30</v>
      </c>
      <c r="I36" s="94" t="s">
        <v>826</v>
      </c>
      <c r="J36" s="9"/>
    </row>
    <row r="37" spans="1:10">
      <c r="A37" s="91" t="s">
        <v>575</v>
      </c>
      <c r="B37" s="88" t="s">
        <v>651</v>
      </c>
      <c r="C37" s="73">
        <v>0</v>
      </c>
      <c r="D37" s="73">
        <v>0</v>
      </c>
      <c r="E37" s="73">
        <v>0</v>
      </c>
      <c r="F37" s="73">
        <v>0</v>
      </c>
      <c r="G37" s="73">
        <v>0</v>
      </c>
      <c r="H37" s="73">
        <v>0</v>
      </c>
      <c r="I37" s="97"/>
      <c r="J37" s="9"/>
    </row>
    <row r="38" spans="1:10" ht="14.45" customHeight="1" thickBot="1">
      <c r="A38" s="92" t="s">
        <v>1019</v>
      </c>
      <c r="B38" s="89" t="s">
        <v>651</v>
      </c>
      <c r="C38" s="75">
        <v>2</v>
      </c>
      <c r="D38" s="75">
        <v>2</v>
      </c>
      <c r="E38" s="75">
        <v>2</v>
      </c>
      <c r="F38" s="75">
        <v>2</v>
      </c>
      <c r="G38" s="75">
        <v>2</v>
      </c>
      <c r="H38" s="75">
        <v>2</v>
      </c>
      <c r="I38" s="95" t="s">
        <v>712</v>
      </c>
      <c r="J38" s="13" t="s">
        <v>1020</v>
      </c>
    </row>
    <row r="39" spans="1:10" ht="14.65" thickBot="1">
      <c r="B39" s="35"/>
      <c r="C39" s="35"/>
      <c r="D39" s="35"/>
      <c r="E39" s="35"/>
      <c r="F39" s="35"/>
      <c r="G39" s="35"/>
      <c r="H39" s="35"/>
      <c r="I39" s="96"/>
    </row>
    <row r="40" spans="1:10" ht="14.65" thickBot="1">
      <c r="A40" s="114" t="s">
        <v>478</v>
      </c>
      <c r="B40" s="86">
        <v>2020</v>
      </c>
      <c r="C40" s="80">
        <v>2025</v>
      </c>
      <c r="D40" s="80">
        <v>2030</v>
      </c>
      <c r="E40" s="80">
        <v>2035</v>
      </c>
      <c r="F40" s="80">
        <v>2040</v>
      </c>
      <c r="G40" s="80">
        <v>2045</v>
      </c>
      <c r="H40" s="80">
        <v>2050</v>
      </c>
      <c r="I40" s="81" t="s">
        <v>567</v>
      </c>
      <c r="J40" s="82" t="s">
        <v>568</v>
      </c>
    </row>
    <row r="41" spans="1:10" ht="13.15" customHeight="1">
      <c r="A41" s="111" t="s">
        <v>1016</v>
      </c>
      <c r="B41" s="87" t="s">
        <v>651</v>
      </c>
      <c r="C41" s="78">
        <v>350</v>
      </c>
      <c r="D41" s="78">
        <v>350</v>
      </c>
      <c r="E41" s="78">
        <v>350</v>
      </c>
      <c r="F41" s="78">
        <v>350</v>
      </c>
      <c r="G41" s="78">
        <v>350</v>
      </c>
      <c r="H41" s="78">
        <v>350</v>
      </c>
      <c r="I41" s="93" t="s">
        <v>826</v>
      </c>
      <c r="J41" s="83"/>
    </row>
    <row r="42" spans="1:10">
      <c r="A42" s="91" t="s">
        <v>1017</v>
      </c>
      <c r="B42" s="88" t="s">
        <v>651</v>
      </c>
      <c r="C42" s="73">
        <v>1500</v>
      </c>
      <c r="D42" s="73">
        <v>1500</v>
      </c>
      <c r="E42" s="73">
        <v>1500</v>
      </c>
      <c r="F42" s="73">
        <v>1500</v>
      </c>
      <c r="G42" s="73">
        <v>1500</v>
      </c>
      <c r="H42" s="73">
        <v>1500</v>
      </c>
      <c r="I42" s="97"/>
      <c r="J42" s="9"/>
    </row>
    <row r="43" spans="1:10" ht="28.5">
      <c r="A43" s="108" t="s">
        <v>844</v>
      </c>
      <c r="B43" s="88" t="s">
        <v>651</v>
      </c>
      <c r="C43" s="73" t="s">
        <v>1026</v>
      </c>
      <c r="D43" s="73" t="s">
        <v>1026</v>
      </c>
      <c r="E43" s="73" t="s">
        <v>1026</v>
      </c>
      <c r="F43" s="73" t="s">
        <v>1026</v>
      </c>
      <c r="G43" s="73" t="s">
        <v>1026</v>
      </c>
      <c r="H43" s="73" t="s">
        <v>1026</v>
      </c>
      <c r="I43" s="97"/>
      <c r="J43" s="9"/>
    </row>
    <row r="44" spans="1:10">
      <c r="A44" s="91" t="s">
        <v>629</v>
      </c>
      <c r="B44" s="88" t="s">
        <v>651</v>
      </c>
      <c r="C44" s="73">
        <v>0</v>
      </c>
      <c r="D44" s="73">
        <v>0</v>
      </c>
      <c r="E44" s="73">
        <v>0</v>
      </c>
      <c r="F44" s="73">
        <v>0</v>
      </c>
      <c r="G44" s="73">
        <v>0</v>
      </c>
      <c r="H44" s="73">
        <v>0</v>
      </c>
      <c r="I44" s="97"/>
      <c r="J44" s="9"/>
    </row>
    <row r="45" spans="1:10">
      <c r="A45" s="91" t="s">
        <v>611</v>
      </c>
      <c r="B45" s="88" t="s">
        <v>651</v>
      </c>
      <c r="C45" s="73">
        <v>30</v>
      </c>
      <c r="D45" s="73">
        <v>30</v>
      </c>
      <c r="E45" s="73">
        <v>30</v>
      </c>
      <c r="F45" s="73">
        <v>30</v>
      </c>
      <c r="G45" s="73">
        <v>30</v>
      </c>
      <c r="H45" s="73">
        <v>30</v>
      </c>
      <c r="I45" s="97"/>
      <c r="J45" s="9"/>
    </row>
    <row r="46" spans="1:10">
      <c r="A46" s="91" t="s">
        <v>575</v>
      </c>
      <c r="B46" s="88" t="s">
        <v>651</v>
      </c>
      <c r="C46" s="73">
        <v>0</v>
      </c>
      <c r="D46" s="73">
        <v>0</v>
      </c>
      <c r="E46" s="73">
        <v>0</v>
      </c>
      <c r="F46" s="73">
        <v>0</v>
      </c>
      <c r="G46" s="73">
        <v>0</v>
      </c>
      <c r="H46" s="73">
        <v>0</v>
      </c>
      <c r="I46" s="97"/>
      <c r="J46" s="9"/>
    </row>
    <row r="47" spans="1:10" ht="15.6" customHeight="1" thickBot="1">
      <c r="A47" s="92" t="s">
        <v>1019</v>
      </c>
      <c r="B47" s="89" t="s">
        <v>651</v>
      </c>
      <c r="C47" s="75">
        <v>2</v>
      </c>
      <c r="D47" s="75">
        <v>2</v>
      </c>
      <c r="E47" s="75">
        <v>2</v>
      </c>
      <c r="F47" s="75">
        <v>2</v>
      </c>
      <c r="G47" s="75">
        <v>2</v>
      </c>
      <c r="H47" s="75">
        <v>2</v>
      </c>
      <c r="I47" s="95" t="s">
        <v>712</v>
      </c>
      <c r="J47" s="13" t="s">
        <v>1020</v>
      </c>
    </row>
    <row r="48" spans="1:10" ht="14.65" thickBot="1">
      <c r="B48" s="35"/>
      <c r="C48" s="35"/>
      <c r="D48" s="35"/>
      <c r="E48" s="35"/>
      <c r="F48" s="35"/>
      <c r="G48" s="35"/>
      <c r="H48" s="35"/>
      <c r="I48" s="96"/>
    </row>
    <row r="49" spans="1:10" ht="14.65" thickBot="1">
      <c r="A49" s="114" t="s">
        <v>1027</v>
      </c>
      <c r="B49" s="86">
        <v>2020</v>
      </c>
      <c r="C49" s="80">
        <v>2025</v>
      </c>
      <c r="D49" s="80">
        <v>2030</v>
      </c>
      <c r="E49" s="80">
        <v>2035</v>
      </c>
      <c r="F49" s="80">
        <v>2040</v>
      </c>
      <c r="G49" s="80">
        <v>2045</v>
      </c>
      <c r="H49" s="80">
        <v>2050</v>
      </c>
      <c r="I49" s="81" t="s">
        <v>567</v>
      </c>
      <c r="J49" s="82" t="s">
        <v>568</v>
      </c>
    </row>
    <row r="50" spans="1:10">
      <c r="A50" s="111" t="s">
        <v>1016</v>
      </c>
      <c r="B50" s="87">
        <v>191.11099999999999</v>
      </c>
      <c r="C50" s="78">
        <v>191.11099999999999</v>
      </c>
      <c r="D50" s="78">
        <v>191.11099999999999</v>
      </c>
      <c r="E50" s="78">
        <v>191.11099999999999</v>
      </c>
      <c r="F50" s="78">
        <v>191.11099999999999</v>
      </c>
      <c r="G50" s="78">
        <v>191.11099999999999</v>
      </c>
      <c r="H50" s="78">
        <v>191.11099999999999</v>
      </c>
      <c r="I50" s="210" t="s">
        <v>854</v>
      </c>
      <c r="J50" s="83"/>
    </row>
    <row r="51" spans="1:10">
      <c r="A51" s="91" t="s">
        <v>1017</v>
      </c>
      <c r="B51" s="88">
        <v>4500</v>
      </c>
      <c r="C51" s="73">
        <v>4500</v>
      </c>
      <c r="D51" s="73">
        <v>4500</v>
      </c>
      <c r="E51" s="73">
        <v>4500</v>
      </c>
      <c r="F51" s="73">
        <v>4500</v>
      </c>
      <c r="G51" s="73">
        <v>4500</v>
      </c>
      <c r="H51" s="73">
        <v>4500</v>
      </c>
      <c r="I51" s="217"/>
      <c r="J51" s="9"/>
    </row>
    <row r="52" spans="1:10" ht="28.5">
      <c r="A52" s="108" t="s">
        <v>844</v>
      </c>
      <c r="B52" s="88" t="s">
        <v>1028</v>
      </c>
      <c r="C52" s="73" t="s">
        <v>1028</v>
      </c>
      <c r="D52" s="73" t="s">
        <v>1028</v>
      </c>
      <c r="E52" s="73" t="s">
        <v>1028</v>
      </c>
      <c r="F52" s="73" t="s">
        <v>1028</v>
      </c>
      <c r="G52" s="73" t="s">
        <v>1028</v>
      </c>
      <c r="H52" s="73" t="s">
        <v>1028</v>
      </c>
      <c r="I52" s="217"/>
      <c r="J52" s="9"/>
    </row>
    <row r="53" spans="1:10">
      <c r="A53" s="91" t="s">
        <v>629</v>
      </c>
      <c r="B53" s="88">
        <v>0</v>
      </c>
      <c r="C53" s="73">
        <v>0</v>
      </c>
      <c r="D53" s="73">
        <v>0</v>
      </c>
      <c r="E53" s="73">
        <v>0</v>
      </c>
      <c r="F53" s="73">
        <v>0</v>
      </c>
      <c r="G53" s="73">
        <v>0</v>
      </c>
      <c r="H53" s="73">
        <v>0</v>
      </c>
      <c r="I53" s="217"/>
      <c r="J53" s="9"/>
    </row>
    <row r="54" spans="1:10">
      <c r="A54" s="91" t="s">
        <v>611</v>
      </c>
      <c r="B54" s="88">
        <v>30</v>
      </c>
      <c r="C54" s="73">
        <v>30</v>
      </c>
      <c r="D54" s="73">
        <v>30</v>
      </c>
      <c r="E54" s="73">
        <v>30</v>
      </c>
      <c r="F54" s="73">
        <v>30</v>
      </c>
      <c r="G54" s="73">
        <v>30</v>
      </c>
      <c r="H54" s="73">
        <v>30</v>
      </c>
      <c r="I54" s="217" t="s">
        <v>826</v>
      </c>
      <c r="J54" s="9"/>
    </row>
    <row r="55" spans="1:10" ht="42.75">
      <c r="A55" s="91" t="s">
        <v>1029</v>
      </c>
      <c r="B55" s="88" t="s">
        <v>1030</v>
      </c>
      <c r="C55" s="73" t="s">
        <v>1031</v>
      </c>
      <c r="D55" s="73" t="s">
        <v>1032</v>
      </c>
      <c r="E55" s="73" t="s">
        <v>1032</v>
      </c>
      <c r="F55" s="73" t="s">
        <v>1033</v>
      </c>
      <c r="G55" s="73">
        <v>0</v>
      </c>
      <c r="H55" s="73">
        <v>0</v>
      </c>
      <c r="I55" s="217"/>
      <c r="J55" s="99" t="s">
        <v>1034</v>
      </c>
    </row>
    <row r="56" spans="1:10" ht="57.4" thickBot="1">
      <c r="A56" s="92" t="s">
        <v>1019</v>
      </c>
      <c r="B56" s="89">
        <v>3</v>
      </c>
      <c r="C56" s="75">
        <v>3</v>
      </c>
      <c r="D56" s="75">
        <v>3</v>
      </c>
      <c r="E56" s="75">
        <v>3</v>
      </c>
      <c r="F56" s="75">
        <v>3</v>
      </c>
      <c r="G56" s="75">
        <v>3</v>
      </c>
      <c r="H56" s="75">
        <v>3</v>
      </c>
      <c r="I56" s="95" t="s">
        <v>854</v>
      </c>
      <c r="J56" s="13"/>
    </row>
    <row r="57" spans="1:10" ht="14.65" thickBot="1">
      <c r="B57" s="35"/>
      <c r="C57" s="35"/>
      <c r="D57" s="35"/>
      <c r="E57" s="35"/>
      <c r="F57" s="35"/>
      <c r="G57" s="35"/>
      <c r="H57" s="35"/>
      <c r="I57" s="96"/>
    </row>
    <row r="58" spans="1:10" ht="14.65" thickBot="1">
      <c r="A58" s="114" t="s">
        <v>491</v>
      </c>
      <c r="B58" s="86">
        <v>2020</v>
      </c>
      <c r="C58" s="80">
        <v>2025</v>
      </c>
      <c r="D58" s="80">
        <v>2030</v>
      </c>
      <c r="E58" s="80">
        <v>2035</v>
      </c>
      <c r="F58" s="80">
        <v>2040</v>
      </c>
      <c r="G58" s="80">
        <v>2045</v>
      </c>
      <c r="H58" s="80">
        <v>2050</v>
      </c>
      <c r="I58" s="81" t="s">
        <v>567</v>
      </c>
      <c r="J58" s="82" t="s">
        <v>568</v>
      </c>
    </row>
    <row r="59" spans="1:10" ht="42.75">
      <c r="A59" s="111" t="s">
        <v>1035</v>
      </c>
      <c r="B59" s="87">
        <v>8.0091999999999999</v>
      </c>
      <c r="C59" s="78">
        <v>8.0091999999999999</v>
      </c>
      <c r="D59" s="78">
        <v>8.0091999999999999</v>
      </c>
      <c r="E59" s="78">
        <v>8.0091999999999999</v>
      </c>
      <c r="F59" s="78">
        <v>8.0091999999999999</v>
      </c>
      <c r="G59" s="78">
        <v>8.0091999999999999</v>
      </c>
      <c r="H59" s="78">
        <v>8.0091999999999999</v>
      </c>
      <c r="I59" s="210" t="s">
        <v>1036</v>
      </c>
      <c r="J59" s="109" t="s">
        <v>1037</v>
      </c>
    </row>
    <row r="60" spans="1:10">
      <c r="A60" s="91" t="s">
        <v>1038</v>
      </c>
      <c r="B60" s="88">
        <v>27250</v>
      </c>
      <c r="C60" s="73">
        <v>27250</v>
      </c>
      <c r="D60" s="73">
        <v>27250</v>
      </c>
      <c r="E60" s="73">
        <v>27250</v>
      </c>
      <c r="F60" s="73">
        <v>27250</v>
      </c>
      <c r="G60" s="73">
        <v>27250</v>
      </c>
      <c r="H60" s="73">
        <v>27250</v>
      </c>
      <c r="I60" s="217"/>
      <c r="J60" s="9"/>
    </row>
    <row r="61" spans="1:10" ht="30" customHeight="1">
      <c r="A61" s="108" t="s">
        <v>890</v>
      </c>
      <c r="B61" s="88" t="s">
        <v>1039</v>
      </c>
      <c r="C61" s="73" t="s">
        <v>1039</v>
      </c>
      <c r="D61" s="73" t="s">
        <v>1039</v>
      </c>
      <c r="E61" s="73" t="s">
        <v>1039</v>
      </c>
      <c r="F61" s="73" t="s">
        <v>1039</v>
      </c>
      <c r="G61" s="73" t="s">
        <v>1039</v>
      </c>
      <c r="H61" s="73" t="s">
        <v>1039</v>
      </c>
      <c r="I61" s="94" t="s">
        <v>1025</v>
      </c>
      <c r="J61" s="9"/>
    </row>
    <row r="62" spans="1:10">
      <c r="A62" s="91" t="s">
        <v>1040</v>
      </c>
      <c r="B62" s="88">
        <v>0</v>
      </c>
      <c r="C62" s="73">
        <v>0</v>
      </c>
      <c r="D62" s="73">
        <v>0</v>
      </c>
      <c r="E62" s="73">
        <v>0</v>
      </c>
      <c r="F62" s="73">
        <v>0</v>
      </c>
      <c r="G62" s="73">
        <v>0</v>
      </c>
      <c r="H62" s="73">
        <v>0</v>
      </c>
      <c r="I62" s="97"/>
      <c r="J62" s="9"/>
    </row>
    <row r="63" spans="1:10">
      <c r="A63" s="91" t="s">
        <v>611</v>
      </c>
      <c r="B63" s="88">
        <v>20</v>
      </c>
      <c r="C63" s="73">
        <v>20</v>
      </c>
      <c r="D63" s="73">
        <v>20</v>
      </c>
      <c r="E63" s="73">
        <v>20</v>
      </c>
      <c r="F63" s="73">
        <v>20</v>
      </c>
      <c r="G63" s="73">
        <v>20</v>
      </c>
      <c r="H63" s="73">
        <v>20</v>
      </c>
      <c r="I63" s="217" t="s">
        <v>1025</v>
      </c>
      <c r="J63" s="9"/>
    </row>
    <row r="64" spans="1:10">
      <c r="A64" s="91" t="s">
        <v>1041</v>
      </c>
      <c r="B64" s="88">
        <v>0</v>
      </c>
      <c r="C64" s="73">
        <v>0</v>
      </c>
      <c r="D64" s="73">
        <v>0</v>
      </c>
      <c r="E64" s="73">
        <v>0</v>
      </c>
      <c r="F64" s="73">
        <v>0</v>
      </c>
      <c r="G64" s="73">
        <v>0</v>
      </c>
      <c r="H64" s="73">
        <v>0</v>
      </c>
      <c r="I64" s="217"/>
      <c r="J64" s="9"/>
    </row>
    <row r="65" spans="1:10" ht="14.65" thickBot="1">
      <c r="A65" s="92" t="s">
        <v>1019</v>
      </c>
      <c r="B65" s="89">
        <v>1.5</v>
      </c>
      <c r="C65" s="75">
        <v>1.5</v>
      </c>
      <c r="D65" s="75">
        <v>1.5</v>
      </c>
      <c r="E65" s="75">
        <v>1.5</v>
      </c>
      <c r="F65" s="75">
        <v>1.5</v>
      </c>
      <c r="G65" s="75">
        <v>1.5</v>
      </c>
      <c r="H65" s="75">
        <v>1.5</v>
      </c>
      <c r="I65" s="218"/>
      <c r="J65" s="13"/>
    </row>
    <row r="66" spans="1:10" ht="14.65" thickBot="1">
      <c r="B66" s="35"/>
      <c r="C66" s="35"/>
      <c r="D66" s="35"/>
      <c r="E66" s="35"/>
      <c r="F66" s="35"/>
      <c r="G66" s="35"/>
      <c r="H66" s="35"/>
      <c r="I66" s="96"/>
    </row>
    <row r="67" spans="1:10" ht="14.65" thickBot="1">
      <c r="A67" s="114" t="s">
        <v>487</v>
      </c>
      <c r="B67" s="86">
        <v>2020</v>
      </c>
      <c r="C67" s="80">
        <v>2025</v>
      </c>
      <c r="D67" s="80">
        <v>2030</v>
      </c>
      <c r="E67" s="80">
        <v>2035</v>
      </c>
      <c r="F67" s="80">
        <v>2040</v>
      </c>
      <c r="G67" s="80">
        <v>2045</v>
      </c>
      <c r="H67" s="80">
        <v>2050</v>
      </c>
      <c r="I67" s="81" t="s">
        <v>567</v>
      </c>
      <c r="J67" s="82" t="s">
        <v>568</v>
      </c>
    </row>
    <row r="68" spans="1:10" ht="42.75">
      <c r="A68" s="111" t="s">
        <v>1042</v>
      </c>
      <c r="B68" s="87">
        <v>3.2037</v>
      </c>
      <c r="C68" s="78">
        <v>3.2037</v>
      </c>
      <c r="D68" s="78">
        <v>3.2037</v>
      </c>
      <c r="E68" s="78">
        <v>3.2037</v>
      </c>
      <c r="F68" s="78">
        <v>3.2037</v>
      </c>
      <c r="G68" s="78">
        <v>3.2037</v>
      </c>
      <c r="H68" s="78">
        <v>3.2037</v>
      </c>
      <c r="I68" s="210" t="s">
        <v>1036</v>
      </c>
      <c r="J68" s="109" t="s">
        <v>1037</v>
      </c>
    </row>
    <row r="69" spans="1:10">
      <c r="A69" s="91" t="s">
        <v>1043</v>
      </c>
      <c r="B69" s="88">
        <v>27250</v>
      </c>
      <c r="C69" s="73">
        <v>27250</v>
      </c>
      <c r="D69" s="73">
        <v>27250</v>
      </c>
      <c r="E69" s="73">
        <v>27250</v>
      </c>
      <c r="F69" s="73">
        <v>27250</v>
      </c>
      <c r="G69" s="73">
        <v>27250</v>
      </c>
      <c r="H69" s="73">
        <v>27250</v>
      </c>
      <c r="I69" s="217"/>
      <c r="J69" s="9"/>
    </row>
    <row r="70" spans="1:10" ht="28.9" customHeight="1">
      <c r="A70" s="108" t="s">
        <v>900</v>
      </c>
      <c r="B70" s="88" t="s">
        <v>1039</v>
      </c>
      <c r="C70" s="73" t="s">
        <v>1039</v>
      </c>
      <c r="D70" s="73" t="s">
        <v>1039</v>
      </c>
      <c r="E70" s="73" t="s">
        <v>1039</v>
      </c>
      <c r="F70" s="73" t="s">
        <v>1039</v>
      </c>
      <c r="G70" s="73" t="s">
        <v>1039</v>
      </c>
      <c r="H70" s="73" t="s">
        <v>1039</v>
      </c>
      <c r="I70" s="97" t="s">
        <v>854</v>
      </c>
      <c r="J70" s="101" t="s">
        <v>1044</v>
      </c>
    </row>
    <row r="71" spans="1:10">
      <c r="A71" s="91" t="s">
        <v>1045</v>
      </c>
      <c r="B71" s="88">
        <v>0</v>
      </c>
      <c r="C71" s="73">
        <v>0</v>
      </c>
      <c r="D71" s="73">
        <v>0</v>
      </c>
      <c r="E71" s="73">
        <v>0</v>
      </c>
      <c r="F71" s="73">
        <v>0</v>
      </c>
      <c r="G71" s="73">
        <v>0</v>
      </c>
      <c r="H71" s="73">
        <v>0</v>
      </c>
      <c r="I71" s="97"/>
      <c r="J71" s="9"/>
    </row>
    <row r="72" spans="1:10" ht="13.9" customHeight="1">
      <c r="A72" s="91" t="s">
        <v>611</v>
      </c>
      <c r="B72" s="88">
        <v>20</v>
      </c>
      <c r="C72" s="73">
        <v>20</v>
      </c>
      <c r="D72" s="73">
        <v>20</v>
      </c>
      <c r="E72" s="73">
        <v>20</v>
      </c>
      <c r="F72" s="73">
        <v>20</v>
      </c>
      <c r="G72" s="73">
        <v>20</v>
      </c>
      <c r="H72" s="73">
        <v>20</v>
      </c>
      <c r="I72" s="97" t="s">
        <v>1025</v>
      </c>
      <c r="J72" s="9"/>
    </row>
    <row r="73" spans="1:10">
      <c r="A73" s="91" t="s">
        <v>1046</v>
      </c>
      <c r="B73" s="88">
        <v>0</v>
      </c>
      <c r="C73" s="73">
        <v>0</v>
      </c>
      <c r="D73" s="73">
        <v>0</v>
      </c>
      <c r="E73" s="73">
        <v>0</v>
      </c>
      <c r="F73" s="73">
        <v>0</v>
      </c>
      <c r="G73" s="73">
        <v>0</v>
      </c>
      <c r="H73" s="73">
        <v>0</v>
      </c>
      <c r="I73" s="217" t="s">
        <v>854</v>
      </c>
      <c r="J73" s="9"/>
    </row>
    <row r="74" spans="1:10" ht="14.65" thickBot="1">
      <c r="A74" s="92" t="s">
        <v>1019</v>
      </c>
      <c r="B74" s="89">
        <v>1.5</v>
      </c>
      <c r="C74" s="75">
        <v>1.5</v>
      </c>
      <c r="D74" s="75">
        <v>1.5</v>
      </c>
      <c r="E74" s="75">
        <v>1.5</v>
      </c>
      <c r="F74" s="75">
        <v>1.5</v>
      </c>
      <c r="G74" s="75">
        <v>1.5</v>
      </c>
      <c r="H74" s="75">
        <v>1.5</v>
      </c>
      <c r="I74" s="218"/>
      <c r="J74" s="13" t="s">
        <v>1044</v>
      </c>
    </row>
    <row r="75" spans="1:10" ht="14.65" thickBot="1">
      <c r="B75" s="35"/>
      <c r="C75" s="35"/>
      <c r="D75" s="35"/>
      <c r="E75" s="35"/>
      <c r="F75" s="35"/>
      <c r="G75" s="35"/>
      <c r="H75" s="35"/>
      <c r="I75" s="96"/>
    </row>
    <row r="76" spans="1:10">
      <c r="A76" s="116" t="s">
        <v>1047</v>
      </c>
      <c r="B76" s="110">
        <v>2020</v>
      </c>
      <c r="C76" s="104">
        <v>2025</v>
      </c>
      <c r="D76" s="104">
        <v>2030</v>
      </c>
      <c r="E76" s="104">
        <v>2035</v>
      </c>
      <c r="F76" s="104">
        <v>2040</v>
      </c>
      <c r="G76" s="104">
        <v>2045</v>
      </c>
      <c r="H76" s="104">
        <v>2050</v>
      </c>
      <c r="I76" s="106" t="s">
        <v>567</v>
      </c>
      <c r="J76" s="105" t="s">
        <v>568</v>
      </c>
    </row>
    <row r="77" spans="1:10" ht="32.450000000000003" customHeight="1">
      <c r="A77" s="113" t="s">
        <v>1048</v>
      </c>
      <c r="B77" s="88">
        <v>285.17099999999999</v>
      </c>
      <c r="C77" s="73">
        <v>285.17099999999999</v>
      </c>
      <c r="D77" s="73">
        <v>285.17099999999999</v>
      </c>
      <c r="E77" s="73">
        <v>285.17099999999999</v>
      </c>
      <c r="F77" s="73">
        <v>285.17099999999999</v>
      </c>
      <c r="G77" s="73">
        <v>285.17099999999999</v>
      </c>
      <c r="H77" s="73">
        <v>285.17099999999999</v>
      </c>
      <c r="I77" s="94" t="s">
        <v>1049</v>
      </c>
      <c r="J77" s="99" t="s">
        <v>1050</v>
      </c>
    </row>
    <row r="78" spans="1:10">
      <c r="A78" s="91" t="s">
        <v>1051</v>
      </c>
      <c r="B78" s="88" t="s">
        <v>1052</v>
      </c>
      <c r="C78" s="73" t="s">
        <v>1052</v>
      </c>
      <c r="D78" s="73" t="s">
        <v>1052</v>
      </c>
      <c r="E78" s="73" t="s">
        <v>1052</v>
      </c>
      <c r="F78" s="73" t="s">
        <v>1052</v>
      </c>
      <c r="G78" s="73" t="s">
        <v>1052</v>
      </c>
      <c r="H78" s="73" t="s">
        <v>1052</v>
      </c>
      <c r="I78" s="97"/>
      <c r="J78" s="9" t="s">
        <v>1053</v>
      </c>
    </row>
    <row r="79" spans="1:10" ht="28.5">
      <c r="A79" s="108" t="s">
        <v>1054</v>
      </c>
      <c r="B79" s="88" t="s">
        <v>1055</v>
      </c>
      <c r="C79" s="73" t="s">
        <v>1055</v>
      </c>
      <c r="D79" s="73" t="s">
        <v>1055</v>
      </c>
      <c r="E79" s="73" t="s">
        <v>1055</v>
      </c>
      <c r="F79" s="73" t="s">
        <v>1055</v>
      </c>
      <c r="G79" s="73" t="s">
        <v>1055</v>
      </c>
      <c r="H79" s="73" t="s">
        <v>1055</v>
      </c>
      <c r="I79" s="97"/>
      <c r="J79" s="9" t="s">
        <v>1056</v>
      </c>
    </row>
    <row r="80" spans="1:10">
      <c r="A80" s="91" t="s">
        <v>1057</v>
      </c>
      <c r="B80" s="88">
        <v>0</v>
      </c>
      <c r="C80" s="73">
        <v>0</v>
      </c>
      <c r="D80" s="73">
        <v>0</v>
      </c>
      <c r="E80" s="73">
        <v>0</v>
      </c>
      <c r="F80" s="73">
        <v>0</v>
      </c>
      <c r="G80" s="73">
        <v>0</v>
      </c>
      <c r="H80" s="73">
        <v>0</v>
      </c>
      <c r="I80" s="97"/>
      <c r="J80" s="9"/>
    </row>
    <row r="81" spans="1:10">
      <c r="A81" s="91" t="s">
        <v>611</v>
      </c>
      <c r="B81" s="88">
        <v>30</v>
      </c>
      <c r="C81" s="73">
        <v>30</v>
      </c>
      <c r="D81" s="73">
        <v>30</v>
      </c>
      <c r="E81" s="73">
        <v>30</v>
      </c>
      <c r="F81" s="73">
        <v>30</v>
      </c>
      <c r="G81" s="73">
        <v>30</v>
      </c>
      <c r="H81" s="73">
        <v>30</v>
      </c>
      <c r="I81" s="97"/>
      <c r="J81" s="9" t="s">
        <v>1058</v>
      </c>
    </row>
    <row r="82" spans="1:10">
      <c r="A82" s="91" t="s">
        <v>1059</v>
      </c>
      <c r="B82" s="88">
        <v>0</v>
      </c>
      <c r="C82" s="73">
        <v>0</v>
      </c>
      <c r="D82" s="73">
        <v>0</v>
      </c>
      <c r="E82" s="73">
        <v>0</v>
      </c>
      <c r="F82" s="73">
        <v>0</v>
      </c>
      <c r="G82" s="73">
        <v>0</v>
      </c>
      <c r="H82" s="73">
        <v>0</v>
      </c>
      <c r="I82" s="97"/>
      <c r="J82" s="9"/>
    </row>
    <row r="83" spans="1:10" ht="15" customHeight="1" thickBot="1">
      <c r="A83" s="92" t="s">
        <v>1019</v>
      </c>
      <c r="B83" s="89">
        <v>1</v>
      </c>
      <c r="C83" s="75">
        <v>1</v>
      </c>
      <c r="D83" s="75">
        <v>1</v>
      </c>
      <c r="E83" s="75">
        <v>1</v>
      </c>
      <c r="F83" s="75">
        <v>1</v>
      </c>
      <c r="G83" s="75">
        <v>1</v>
      </c>
      <c r="H83" s="75">
        <v>1</v>
      </c>
      <c r="I83" s="95" t="s">
        <v>1060</v>
      </c>
      <c r="J83" s="13" t="s">
        <v>1061</v>
      </c>
    </row>
  </sheetData>
  <mergeCells count="18">
    <mergeCell ref="J3:J4"/>
    <mergeCell ref="I7:I8"/>
    <mergeCell ref="I68:I69"/>
    <mergeCell ref="I73:I74"/>
    <mergeCell ref="A3:A4"/>
    <mergeCell ref="B3:B4"/>
    <mergeCell ref="C3:C4"/>
    <mergeCell ref="D3:D4"/>
    <mergeCell ref="E3:E4"/>
    <mergeCell ref="F3:F4"/>
    <mergeCell ref="G3:G4"/>
    <mergeCell ref="H3:H4"/>
    <mergeCell ref="I14:I17"/>
    <mergeCell ref="I23:I25"/>
    <mergeCell ref="I50:I53"/>
    <mergeCell ref="I54:I55"/>
    <mergeCell ref="I59:I60"/>
    <mergeCell ref="I63:I65"/>
  </mergeCells>
  <phoneticPr fontId="2" type="noConversion"/>
  <hyperlinks>
    <hyperlink ref="I20" r:id="rId1" display="https://core.ac.uk/download/pdf/292476271.pdf" xr:uid="{B1C544B9-CDBA-4004-AB67-818FA5B98471}"/>
    <hyperlink ref="I14" r:id="rId2" xr:uid="{59C08B4E-25B1-4CA0-AB2C-4C644DFA57AC}"/>
    <hyperlink ref="I18" r:id="rId3" xr:uid="{48FFD4CC-C9DF-49B7-8931-E94975374F1C}"/>
    <hyperlink ref="I23" r:id="rId4" display="https://core.ac.uk/download/pdf/292476271.pdf" xr:uid="{F1BF09C5-E54C-4C90-B1AD-C5380038F1FA}"/>
    <hyperlink ref="I27" r:id="rId5" xr:uid="{24D15BA3-3045-4B83-B67F-FFC12438B207}"/>
    <hyperlink ref="I29" r:id="rId6" display="https://core.ac.uk/download/pdf/292476271.pdf" xr:uid="{5DB4596B-581D-43E4-BAC4-5E7E0C9F12B8}"/>
    <hyperlink ref="I32" r:id="rId7" xr:uid="{FB165E16-EFAC-46AE-8BEE-9A03C29E9981}"/>
    <hyperlink ref="I34" r:id="rId8" location=":~:text=An%20efficient%20and%20cost%2Deffective,crucial%20for%20its%20appli%2D%20cation.&amp;text=A%20500%20km%20transport%20overseas,the%20most%20cost%2Defficient%20option." xr:uid="{9BC377B5-5B93-4D58-8B01-7ECCA2CE0BE4}"/>
    <hyperlink ref="I36" r:id="rId9" xr:uid="{E18C7543-5E29-4353-A7DC-DF292BF60D61}"/>
    <hyperlink ref="I38" r:id="rId10" display="https://core.ac.uk/download/pdf/292476271.pdf" xr:uid="{139EDF4B-EA55-488B-9E10-52C5D0CD0884}"/>
    <hyperlink ref="I41" r:id="rId11" xr:uid="{9DB2BCDB-71AC-4983-BEB7-864E42517871}"/>
    <hyperlink ref="I47" r:id="rId12" display="https://core.ac.uk/download/pdf/292476271.pdf" xr:uid="{E999282A-BADD-47D2-B506-8F4AB9AFCBB6}"/>
    <hyperlink ref="I54" r:id="rId13" xr:uid="{F585B74C-88E7-4FF8-B804-AA2BF10E1A9B}"/>
    <hyperlink ref="I50" r:id="rId14" xr:uid="{95BF3D1C-F141-4951-9772-DED0181A0B69}"/>
    <hyperlink ref="I56" r:id="rId15" xr:uid="{1951292D-3677-477F-8A0B-E25A0A5F78B4}"/>
    <hyperlink ref="I59" r:id="rId16" display="https://www.osti.gov/servlets/purl/982359" xr:uid="{75A676BE-62ED-4E64-B67A-C1A79727F45E}"/>
    <hyperlink ref="I61" r:id="rId17" location=":~:text=An%20efficient%20and%20cost%2Deffective,crucial%20for%20its%20appli%2D%20cation.&amp;text=A%20500%20km%20transport%20overseas,the%20most%20cost%2Defficient%20option." xr:uid="{6C3C7260-B504-4A9F-AC21-A3A1642E1F90}"/>
    <hyperlink ref="I63" r:id="rId18" location=":~:text=An%20efficient%20and%20cost%2Deffective,crucial%20for%20its%20appli%2D%20cation.&amp;text=A%20500%20km%20transport%20overseas,the%20most%20cost%2Defficient%20option." xr:uid="{DC42F1C6-D36B-4FCD-B061-C67EEF25897C}"/>
    <hyperlink ref="I68" r:id="rId19" display="https://www.osti.gov/servlets/purl/982359" xr:uid="{AF5E9A8F-CCB6-4A5A-B97B-6D530B6E1C77}"/>
    <hyperlink ref="I73" r:id="rId20" xr:uid="{206C06CB-3F84-4FB8-A54D-E49388D55F61}"/>
    <hyperlink ref="I77" r:id="rId21" display="https://www.titanvehicle.com/product/42-000-liters-Water-tank-trailers-.html" xr:uid="{FCF54562-CBF7-40FD-A07E-DAE69C3714CA}"/>
    <hyperlink ref="I83" r:id="rId22" display="https://www.haskelltrucking.com/water-hauling" xr:uid="{8204F3BD-5756-44E8-A20B-A9C9ABB2C2F3}"/>
    <hyperlink ref="I2" r:id="rId23" xr:uid="{728BBEEC-DF44-49A3-BF19-1AFE388DA3A1}"/>
    <hyperlink ref="I3" r:id="rId24" xr:uid="{F93642AD-CE02-4221-AA2E-A1747E839C7E}"/>
    <hyperlink ref="I4" r:id="rId25" display="https://www.hydrogen.energy.gov/pdfs/19006_hydrogen_class8_long_haul_truck_targets.pdf" xr:uid="{70A9D358-949C-4C60-AD60-A8947A0ED311}"/>
    <hyperlink ref="I5" r:id="rId26" xr:uid="{2FB49E63-7AA9-4C26-BEBE-CD17012197ED}"/>
    <hyperlink ref="I7" r:id="rId27" xr:uid="{6626B0E3-3877-4739-8EC5-8B70CC1AB382}"/>
    <hyperlink ref="I9" r:id="rId28" display="https://www.hydrogen.energy.gov/pdfs/19006_hydrogen_class8_long_haul_truck_targets.pdf" xr:uid="{006FAE8C-1045-4F3A-99EF-F9FAAEB1B34D}"/>
    <hyperlink ref="I10" r:id="rId29" display="https://ens.dk/sites/ens.dk/files/Analyser/technology_data_for_energy_transport.pdf" xr:uid="{E7F41A55-C266-474C-89DD-473DFB47382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F6687-2106-4CF6-B808-C6FF4972CBC4}">
  <sheetPr codeName="Hoja12"/>
  <dimension ref="A1:J42"/>
  <sheetViews>
    <sheetView topLeftCell="A4" workbookViewId="0">
      <selection activeCell="B4" sqref="B4"/>
    </sheetView>
  </sheetViews>
  <sheetFormatPr defaultColWidth="11.42578125" defaultRowHeight="14.25"/>
  <cols>
    <col min="1" max="1" width="20" customWidth="1"/>
    <col min="2" max="6" width="15.28515625" style="35" bestFit="1" customWidth="1"/>
    <col min="7" max="8" width="18.7109375" style="35" bestFit="1" customWidth="1"/>
    <col min="9" max="9" width="11.5703125" style="96"/>
    <col min="10" max="10" width="59.28515625" customWidth="1"/>
  </cols>
  <sheetData>
    <row r="1" spans="1:10" ht="43.15" thickBot="1">
      <c r="A1" s="115" t="s">
        <v>1062</v>
      </c>
      <c r="B1" s="86">
        <v>2020</v>
      </c>
      <c r="C1" s="80">
        <v>2025</v>
      </c>
      <c r="D1" s="80">
        <v>2030</v>
      </c>
      <c r="E1" s="80">
        <v>2035</v>
      </c>
      <c r="F1" s="80">
        <v>2040</v>
      </c>
      <c r="G1" s="80">
        <v>2045</v>
      </c>
      <c r="H1" s="80">
        <v>2050</v>
      </c>
      <c r="I1" s="107" t="s">
        <v>567</v>
      </c>
      <c r="J1" s="82" t="s">
        <v>568</v>
      </c>
    </row>
    <row r="2" spans="1:10" ht="99.75">
      <c r="A2" s="123" t="s">
        <v>1063</v>
      </c>
      <c r="B2" s="87">
        <v>8.3979111999999994</v>
      </c>
      <c r="C2" s="78">
        <v>8.3979111999999994</v>
      </c>
      <c r="D2" s="78">
        <v>8.3979111999999994</v>
      </c>
      <c r="E2" s="78">
        <v>8.3979111999999994</v>
      </c>
      <c r="F2" s="78">
        <v>8.3979111999999994</v>
      </c>
      <c r="G2" s="78">
        <v>8.3979111999999994</v>
      </c>
      <c r="H2" s="78">
        <v>8.3979111999999994</v>
      </c>
      <c r="I2" s="210" t="s">
        <v>1064</v>
      </c>
      <c r="J2" s="98" t="s">
        <v>1065</v>
      </c>
    </row>
    <row r="3" spans="1:10" ht="28.5">
      <c r="A3" s="108" t="s">
        <v>1066</v>
      </c>
      <c r="B3" s="88" t="s">
        <v>1067</v>
      </c>
      <c r="C3" s="73" t="s">
        <v>1067</v>
      </c>
      <c r="D3" s="73" t="s">
        <v>1067</v>
      </c>
      <c r="E3" s="73" t="s">
        <v>1067</v>
      </c>
      <c r="F3" s="73" t="s">
        <v>1067</v>
      </c>
      <c r="G3" s="73" t="s">
        <v>1067</v>
      </c>
      <c r="H3" s="73" t="s">
        <v>1067</v>
      </c>
      <c r="I3" s="217"/>
      <c r="J3" s="9"/>
    </row>
    <row r="4" spans="1:10" ht="142.5">
      <c r="A4" s="108" t="s">
        <v>1068</v>
      </c>
      <c r="B4" s="88">
        <v>2.1900000000000001E-3</v>
      </c>
      <c r="C4" s="73">
        <v>2.1900000000000001E-3</v>
      </c>
      <c r="D4" s="73">
        <v>2.0100000000000001E-3</v>
      </c>
      <c r="E4" s="73">
        <v>2.0100000000000001E-3</v>
      </c>
      <c r="F4" s="73">
        <v>2.0100000000000001E-3</v>
      </c>
      <c r="G4" s="73">
        <v>1.8E-3</v>
      </c>
      <c r="H4" s="73">
        <v>1.8E-3</v>
      </c>
      <c r="I4" s="217"/>
      <c r="J4" s="99" t="s">
        <v>1069</v>
      </c>
    </row>
    <row r="5" spans="1:10">
      <c r="A5" s="112" t="s">
        <v>1070</v>
      </c>
      <c r="B5" s="88">
        <v>48</v>
      </c>
      <c r="C5" s="73">
        <v>48</v>
      </c>
      <c r="D5" s="73">
        <v>48</v>
      </c>
      <c r="E5" s="73">
        <v>48</v>
      </c>
      <c r="F5" s="73">
        <v>48</v>
      </c>
      <c r="G5" s="73">
        <v>48</v>
      </c>
      <c r="H5" s="73">
        <v>48</v>
      </c>
      <c r="I5" s="217"/>
      <c r="J5" s="9"/>
    </row>
    <row r="6" spans="1:10" ht="42.75">
      <c r="A6" s="108" t="s">
        <v>1071</v>
      </c>
      <c r="B6" s="88" t="s">
        <v>1072</v>
      </c>
      <c r="C6" s="73" t="s">
        <v>1072</v>
      </c>
      <c r="D6" s="73" t="s">
        <v>1073</v>
      </c>
      <c r="E6" s="73" t="s">
        <v>1073</v>
      </c>
      <c r="F6" s="73" t="s">
        <v>1073</v>
      </c>
      <c r="G6" s="73" t="s">
        <v>1074</v>
      </c>
      <c r="H6" s="73" t="s">
        <v>1074</v>
      </c>
      <c r="I6" s="217"/>
      <c r="J6" s="122" t="s">
        <v>1075</v>
      </c>
    </row>
    <row r="7" spans="1:10" ht="28.5">
      <c r="A7" s="108" t="s">
        <v>1076</v>
      </c>
      <c r="B7" s="88">
        <v>0</v>
      </c>
      <c r="C7" s="73">
        <v>0</v>
      </c>
      <c r="D7" s="73">
        <v>0</v>
      </c>
      <c r="E7" s="73">
        <v>0</v>
      </c>
      <c r="F7" s="73">
        <v>0</v>
      </c>
      <c r="G7" s="73">
        <v>0</v>
      </c>
      <c r="H7" s="73">
        <v>0</v>
      </c>
      <c r="I7" s="217"/>
      <c r="J7" s="9"/>
    </row>
    <row r="8" spans="1:10">
      <c r="A8" s="91" t="s">
        <v>611</v>
      </c>
      <c r="B8" s="88">
        <v>50</v>
      </c>
      <c r="C8" s="73">
        <v>50</v>
      </c>
      <c r="D8" s="73">
        <v>50</v>
      </c>
      <c r="E8" s="73">
        <v>50</v>
      </c>
      <c r="F8" s="73">
        <v>50</v>
      </c>
      <c r="G8" s="73">
        <v>50</v>
      </c>
      <c r="H8" s="73">
        <v>50</v>
      </c>
      <c r="I8" s="217"/>
      <c r="J8" s="9"/>
    </row>
    <row r="9" spans="1:10" ht="14.65" thickBot="1">
      <c r="A9" s="92" t="s">
        <v>575</v>
      </c>
      <c r="B9" s="89">
        <v>0</v>
      </c>
      <c r="C9" s="75">
        <v>0</v>
      </c>
      <c r="D9" s="75">
        <v>0</v>
      </c>
      <c r="E9" s="75">
        <v>0</v>
      </c>
      <c r="F9" s="75">
        <v>0</v>
      </c>
      <c r="G9" s="75">
        <v>0</v>
      </c>
      <c r="H9" s="75">
        <v>0</v>
      </c>
      <c r="I9" s="218"/>
      <c r="J9" s="13"/>
    </row>
    <row r="10" spans="1:10" ht="14.65" thickBot="1"/>
    <row r="11" spans="1:10" ht="43.15" thickBot="1">
      <c r="A11" s="115" t="s">
        <v>1077</v>
      </c>
      <c r="B11" s="86">
        <v>2020</v>
      </c>
      <c r="C11" s="80">
        <v>2025</v>
      </c>
      <c r="D11" s="80">
        <v>2030</v>
      </c>
      <c r="E11" s="80">
        <v>2035</v>
      </c>
      <c r="F11" s="80">
        <v>2040</v>
      </c>
      <c r="G11" s="80">
        <v>2045</v>
      </c>
      <c r="H11" s="80">
        <v>2050</v>
      </c>
      <c r="I11" s="107" t="s">
        <v>567</v>
      </c>
      <c r="J11" s="82" t="s">
        <v>568</v>
      </c>
    </row>
    <row r="12" spans="1:10" ht="99.75">
      <c r="A12" s="123" t="s">
        <v>1063</v>
      </c>
      <c r="B12" s="87">
        <v>7.8507734549999997</v>
      </c>
      <c r="C12" s="78">
        <v>7.8507734549999997</v>
      </c>
      <c r="D12" s="78">
        <v>7.8507734549999997</v>
      </c>
      <c r="E12" s="78">
        <v>7.8507734549999997</v>
      </c>
      <c r="F12" s="78">
        <v>7.8507734549999997</v>
      </c>
      <c r="G12" s="78">
        <v>7.8507734549999997</v>
      </c>
      <c r="H12" s="78">
        <v>7.8507734549999997</v>
      </c>
      <c r="I12" s="210" t="s">
        <v>1064</v>
      </c>
      <c r="J12" s="98" t="s">
        <v>1078</v>
      </c>
    </row>
    <row r="13" spans="1:10" ht="28.5">
      <c r="A13" s="108" t="s">
        <v>1066</v>
      </c>
      <c r="B13" s="88" t="s">
        <v>1079</v>
      </c>
      <c r="C13" s="73" t="s">
        <v>1079</v>
      </c>
      <c r="D13" s="73" t="s">
        <v>1079</v>
      </c>
      <c r="E13" s="73" t="s">
        <v>1079</v>
      </c>
      <c r="F13" s="73" t="s">
        <v>1079</v>
      </c>
      <c r="G13" s="73" t="s">
        <v>1079</v>
      </c>
      <c r="H13" s="73" t="s">
        <v>1079</v>
      </c>
      <c r="I13" s="217"/>
      <c r="J13" s="9"/>
    </row>
    <row r="14" spans="1:10" ht="142.5">
      <c r="A14" s="108" t="s">
        <v>1068</v>
      </c>
      <c r="B14" s="88">
        <f>0.00007*600000/20000</f>
        <v>2.0999999999999994E-3</v>
      </c>
      <c r="C14" s="73">
        <f>0.00007*600000/20000</f>
        <v>2.0999999999999994E-3</v>
      </c>
      <c r="D14" s="73">
        <f>0.000063*600000/20000</f>
        <v>1.8899999999999998E-3</v>
      </c>
      <c r="E14" s="73">
        <f>0.000063*600000/20000</f>
        <v>1.8899999999999998E-3</v>
      </c>
      <c r="F14" s="73">
        <f>0.000063*600000/20000</f>
        <v>1.8899999999999998E-3</v>
      </c>
      <c r="G14" s="73">
        <f>0.000057*600000/20000</f>
        <v>1.7100000000000001E-3</v>
      </c>
      <c r="H14" s="73">
        <f>0.000057*600000/20000</f>
        <v>1.7100000000000001E-3</v>
      </c>
      <c r="I14" s="217"/>
      <c r="J14" s="99" t="s">
        <v>1080</v>
      </c>
    </row>
    <row r="15" spans="1:10">
      <c r="A15" s="112" t="s">
        <v>1070</v>
      </c>
      <c r="B15" s="88">
        <v>48</v>
      </c>
      <c r="C15" s="73">
        <v>48</v>
      </c>
      <c r="D15" s="73">
        <v>48</v>
      </c>
      <c r="E15" s="73">
        <v>48</v>
      </c>
      <c r="F15" s="73">
        <v>48</v>
      </c>
      <c r="G15" s="73">
        <v>48</v>
      </c>
      <c r="H15" s="73">
        <v>48</v>
      </c>
      <c r="I15" s="217"/>
      <c r="J15" s="9"/>
    </row>
    <row r="16" spans="1:10" ht="42.75">
      <c r="A16" s="108" t="s">
        <v>1071</v>
      </c>
      <c r="B16" s="88" t="s">
        <v>1081</v>
      </c>
      <c r="C16" s="73" t="s">
        <v>1081</v>
      </c>
      <c r="D16" s="73" t="s">
        <v>1082</v>
      </c>
      <c r="E16" s="73" t="s">
        <v>1082</v>
      </c>
      <c r="F16" s="73" t="s">
        <v>1082</v>
      </c>
      <c r="G16" s="73" t="s">
        <v>1083</v>
      </c>
      <c r="H16" s="73" t="s">
        <v>1083</v>
      </c>
      <c r="I16" s="217"/>
      <c r="J16" s="122" t="s">
        <v>1075</v>
      </c>
    </row>
    <row r="17" spans="1:10" ht="28.5">
      <c r="A17" s="108" t="s">
        <v>1076</v>
      </c>
      <c r="B17" s="88">
        <v>0</v>
      </c>
      <c r="C17" s="73">
        <v>0</v>
      </c>
      <c r="D17" s="73">
        <v>0</v>
      </c>
      <c r="E17" s="73">
        <v>0</v>
      </c>
      <c r="F17" s="73">
        <v>0</v>
      </c>
      <c r="G17" s="73">
        <v>0</v>
      </c>
      <c r="H17" s="73">
        <v>0</v>
      </c>
      <c r="I17" s="217"/>
      <c r="J17" s="9"/>
    </row>
    <row r="18" spans="1:10">
      <c r="A18" s="91" t="s">
        <v>611</v>
      </c>
      <c r="B18" s="88">
        <v>50</v>
      </c>
      <c r="C18" s="73">
        <v>50</v>
      </c>
      <c r="D18" s="73">
        <v>50</v>
      </c>
      <c r="E18" s="73">
        <v>50</v>
      </c>
      <c r="F18" s="73">
        <v>50</v>
      </c>
      <c r="G18" s="73">
        <v>50</v>
      </c>
      <c r="H18" s="73">
        <v>50</v>
      </c>
      <c r="I18" s="217"/>
      <c r="J18" s="9"/>
    </row>
    <row r="19" spans="1:10" ht="14.65" thickBot="1">
      <c r="A19" s="92" t="s">
        <v>575</v>
      </c>
      <c r="B19" s="89">
        <v>0</v>
      </c>
      <c r="C19" s="75">
        <v>0</v>
      </c>
      <c r="D19" s="75">
        <v>0</v>
      </c>
      <c r="E19" s="75">
        <v>0</v>
      </c>
      <c r="F19" s="75">
        <v>0</v>
      </c>
      <c r="G19" s="75">
        <v>0</v>
      </c>
      <c r="H19" s="75">
        <v>0</v>
      </c>
      <c r="I19" s="218"/>
      <c r="J19" s="13"/>
    </row>
    <row r="20" spans="1:10" ht="14.65" thickBot="1"/>
    <row r="21" spans="1:10" ht="43.15" thickBot="1">
      <c r="A21" s="115" t="s">
        <v>1084</v>
      </c>
      <c r="B21" s="86">
        <v>2020</v>
      </c>
      <c r="C21" s="80">
        <v>2025</v>
      </c>
      <c r="D21" s="80">
        <v>2030</v>
      </c>
      <c r="E21" s="80">
        <v>2035</v>
      </c>
      <c r="F21" s="80">
        <v>2040</v>
      </c>
      <c r="G21" s="80">
        <v>2045</v>
      </c>
      <c r="H21" s="80">
        <v>2050</v>
      </c>
      <c r="I21" s="107" t="s">
        <v>567</v>
      </c>
      <c r="J21" s="82" t="s">
        <v>568</v>
      </c>
    </row>
    <row r="22" spans="1:10" ht="118.9" customHeight="1">
      <c r="A22" s="123" t="s">
        <v>1085</v>
      </c>
      <c r="B22" s="87">
        <v>5.9264999999999998E-2</v>
      </c>
      <c r="C22" s="78">
        <v>5.9264999999999998E-2</v>
      </c>
      <c r="D22" s="78">
        <v>5.9264999999999998E-2</v>
      </c>
      <c r="E22" s="78">
        <v>5.9264999999999998E-2</v>
      </c>
      <c r="F22" s="78">
        <v>5.9264999999999998E-2</v>
      </c>
      <c r="G22" s="78">
        <v>5.9264999999999998E-2</v>
      </c>
      <c r="H22" s="78">
        <v>5.9264999999999998E-2</v>
      </c>
      <c r="I22" s="210" t="s">
        <v>1064</v>
      </c>
      <c r="J22" s="98" t="s">
        <v>1086</v>
      </c>
    </row>
    <row r="23" spans="1:10" ht="28.9" customHeight="1">
      <c r="A23" s="108" t="s">
        <v>1087</v>
      </c>
      <c r="B23" s="88" t="s">
        <v>1088</v>
      </c>
      <c r="C23" s="73" t="s">
        <v>1088</v>
      </c>
      <c r="D23" s="73" t="s">
        <v>1088</v>
      </c>
      <c r="E23" s="73" t="s">
        <v>1088</v>
      </c>
      <c r="F23" s="73" t="s">
        <v>1088</v>
      </c>
      <c r="G23" s="73" t="s">
        <v>1088</v>
      </c>
      <c r="H23" s="73" t="s">
        <v>1088</v>
      </c>
      <c r="I23" s="217"/>
      <c r="J23" s="9"/>
    </row>
    <row r="24" spans="1:10" ht="42.75">
      <c r="A24" s="108" t="s">
        <v>1089</v>
      </c>
      <c r="B24" s="88">
        <v>0</v>
      </c>
      <c r="C24" s="73">
        <v>0</v>
      </c>
      <c r="D24" s="73">
        <v>0</v>
      </c>
      <c r="E24" s="73">
        <v>0</v>
      </c>
      <c r="F24" s="73">
        <v>0</v>
      </c>
      <c r="G24" s="73">
        <v>0</v>
      </c>
      <c r="H24" s="73">
        <v>0</v>
      </c>
      <c r="I24" s="217"/>
      <c r="J24" s="118" t="s">
        <v>1090</v>
      </c>
    </row>
    <row r="25" spans="1:10">
      <c r="A25" s="112" t="s">
        <v>1070</v>
      </c>
      <c r="B25" s="88">
        <v>24</v>
      </c>
      <c r="C25" s="73">
        <v>24</v>
      </c>
      <c r="D25" s="73">
        <v>24</v>
      </c>
      <c r="E25" s="73">
        <v>24</v>
      </c>
      <c r="F25" s="73">
        <v>24</v>
      </c>
      <c r="G25" s="73">
        <v>24</v>
      </c>
      <c r="H25" s="73">
        <v>24</v>
      </c>
      <c r="I25" s="217"/>
      <c r="J25" s="9"/>
    </row>
    <row r="26" spans="1:10" ht="42.75">
      <c r="A26" s="108" t="s">
        <v>1091</v>
      </c>
      <c r="B26" s="88" t="s">
        <v>1092</v>
      </c>
      <c r="C26" s="73" t="s">
        <v>1092</v>
      </c>
      <c r="D26" s="73" t="s">
        <v>1092</v>
      </c>
      <c r="E26" s="73" t="s">
        <v>1092</v>
      </c>
      <c r="F26" s="73" t="s">
        <v>1092</v>
      </c>
      <c r="G26" s="73" t="s">
        <v>1092</v>
      </c>
      <c r="H26" s="73" t="s">
        <v>1092</v>
      </c>
      <c r="I26" s="217"/>
      <c r="J26" s="122" t="s">
        <v>1075</v>
      </c>
    </row>
    <row r="27" spans="1:10" ht="28.5">
      <c r="A27" s="108" t="s">
        <v>1093</v>
      </c>
      <c r="B27" s="88">
        <v>0</v>
      </c>
      <c r="C27" s="73">
        <v>0</v>
      </c>
      <c r="D27" s="73">
        <v>0</v>
      </c>
      <c r="E27" s="73">
        <v>0</v>
      </c>
      <c r="F27" s="73">
        <v>0</v>
      </c>
      <c r="G27" s="73">
        <v>0</v>
      </c>
      <c r="H27" s="73">
        <v>0</v>
      </c>
      <c r="I27" s="217"/>
      <c r="J27" s="9"/>
    </row>
    <row r="28" spans="1:10">
      <c r="A28" s="91" t="s">
        <v>611</v>
      </c>
      <c r="B28" s="88">
        <v>50</v>
      </c>
      <c r="C28" s="73">
        <v>50</v>
      </c>
      <c r="D28" s="73">
        <v>50</v>
      </c>
      <c r="E28" s="73">
        <v>50</v>
      </c>
      <c r="F28" s="73">
        <v>50</v>
      </c>
      <c r="G28" s="73">
        <v>50</v>
      </c>
      <c r="H28" s="73">
        <v>50</v>
      </c>
      <c r="I28" s="217"/>
      <c r="J28" s="9"/>
    </row>
    <row r="29" spans="1:10" ht="14.65" thickBot="1">
      <c r="A29" s="92" t="s">
        <v>575</v>
      </c>
      <c r="B29" s="89">
        <v>0</v>
      </c>
      <c r="C29" s="75">
        <v>0</v>
      </c>
      <c r="D29" s="75">
        <v>0</v>
      </c>
      <c r="E29" s="75">
        <v>0</v>
      </c>
      <c r="F29" s="75">
        <v>0</v>
      </c>
      <c r="G29" s="75">
        <v>0</v>
      </c>
      <c r="H29" s="75">
        <v>0</v>
      </c>
      <c r="I29" s="218"/>
      <c r="J29" s="13"/>
    </row>
    <row r="30" spans="1:10" ht="14.65" thickBot="1"/>
    <row r="31" spans="1:10" ht="14.65" thickBot="1">
      <c r="A31" s="115" t="s">
        <v>1094</v>
      </c>
      <c r="B31" s="86">
        <v>2020</v>
      </c>
      <c r="C31" s="80">
        <v>2025</v>
      </c>
      <c r="D31" s="80">
        <v>2030</v>
      </c>
      <c r="E31" s="80">
        <v>2035</v>
      </c>
      <c r="F31" s="80">
        <v>2040</v>
      </c>
      <c r="G31" s="80">
        <v>2045</v>
      </c>
      <c r="H31" s="80">
        <v>2050</v>
      </c>
      <c r="I31" s="81" t="s">
        <v>567</v>
      </c>
      <c r="J31" s="82" t="s">
        <v>568</v>
      </c>
    </row>
    <row r="32" spans="1:10" ht="28.15" customHeight="1">
      <c r="A32" s="123" t="s">
        <v>1095</v>
      </c>
      <c r="B32" s="87">
        <v>6.0000000000000002E-6</v>
      </c>
      <c r="C32" s="78">
        <v>6.0000000000000002E-6</v>
      </c>
      <c r="D32" s="78">
        <v>6.0000000000000002E-6</v>
      </c>
      <c r="E32" s="78">
        <v>6.0000000000000002E-6</v>
      </c>
      <c r="F32" s="78">
        <v>6.0000000000000002E-6</v>
      </c>
      <c r="G32" s="78">
        <v>6.0000000000000002E-6</v>
      </c>
      <c r="H32" s="78">
        <v>6.0000000000000002E-6</v>
      </c>
      <c r="I32" s="210" t="s">
        <v>1096</v>
      </c>
      <c r="J32" s="98"/>
    </row>
    <row r="33" spans="1:10" ht="42.75">
      <c r="A33" s="108" t="s">
        <v>1097</v>
      </c>
      <c r="B33" s="88">
        <v>2.6256E-8</v>
      </c>
      <c r="C33" s="73">
        <v>2.6256E-8</v>
      </c>
      <c r="D33" s="73">
        <v>2.6256E-8</v>
      </c>
      <c r="E33" s="73">
        <v>2.6256E-8</v>
      </c>
      <c r="F33" s="73">
        <v>2.6256E-8</v>
      </c>
      <c r="G33" s="73">
        <v>2.6256E-8</v>
      </c>
      <c r="H33" s="73">
        <v>2.6256E-8</v>
      </c>
      <c r="I33" s="217"/>
      <c r="J33" s="122"/>
    </row>
    <row r="34" spans="1:10" ht="28.5">
      <c r="A34" s="108" t="s">
        <v>1098</v>
      </c>
      <c r="B34" s="88">
        <v>0</v>
      </c>
      <c r="C34" s="73">
        <v>0</v>
      </c>
      <c r="D34" s="73">
        <v>0</v>
      </c>
      <c r="E34" s="73">
        <v>0</v>
      </c>
      <c r="F34" s="73">
        <v>0</v>
      </c>
      <c r="G34" s="73">
        <v>0</v>
      </c>
      <c r="H34" s="73">
        <v>0</v>
      </c>
      <c r="I34" s="217"/>
      <c r="J34" s="9"/>
    </row>
    <row r="35" spans="1:10" ht="14.65" thickBot="1">
      <c r="A35" s="92" t="s">
        <v>611</v>
      </c>
      <c r="B35" s="89">
        <v>30</v>
      </c>
      <c r="C35" s="75">
        <v>30</v>
      </c>
      <c r="D35" s="75">
        <v>30</v>
      </c>
      <c r="E35" s="75">
        <v>30</v>
      </c>
      <c r="F35" s="75">
        <v>30</v>
      </c>
      <c r="G35" s="75">
        <v>30</v>
      </c>
      <c r="H35" s="75">
        <v>30</v>
      </c>
      <c r="I35" s="218"/>
      <c r="J35" s="13"/>
    </row>
    <row r="36" spans="1:10" ht="14.65" thickBot="1"/>
    <row r="37" spans="1:10" ht="14.65" thickBot="1">
      <c r="A37" s="115" t="s">
        <v>1099</v>
      </c>
      <c r="B37" s="86">
        <v>2020</v>
      </c>
      <c r="C37" s="80">
        <v>2025</v>
      </c>
      <c r="D37" s="80">
        <v>2030</v>
      </c>
      <c r="E37" s="80">
        <v>2035</v>
      </c>
      <c r="F37" s="80">
        <v>2040</v>
      </c>
      <c r="G37" s="80">
        <v>2045</v>
      </c>
      <c r="H37" s="80">
        <v>2050</v>
      </c>
      <c r="I37" s="81" t="s">
        <v>567</v>
      </c>
      <c r="J37" s="82" t="s">
        <v>568</v>
      </c>
    </row>
    <row r="38" spans="1:10" ht="28.9" customHeight="1">
      <c r="A38" s="123" t="s">
        <v>1100</v>
      </c>
      <c r="B38" s="87">
        <v>0.24399999999999999</v>
      </c>
      <c r="C38" s="78">
        <v>0.24399999999999999</v>
      </c>
      <c r="D38" s="78">
        <v>0.24399999999999999</v>
      </c>
      <c r="E38" s="78">
        <v>0.24399999999999999</v>
      </c>
      <c r="F38" s="78">
        <v>0.24399999999999999</v>
      </c>
      <c r="G38" s="78">
        <v>0.24399999999999999</v>
      </c>
      <c r="H38" s="78">
        <v>0.24399999999999999</v>
      </c>
      <c r="I38" s="210" t="s">
        <v>570</v>
      </c>
      <c r="J38" s="98"/>
    </row>
    <row r="39" spans="1:10" ht="42.75">
      <c r="A39" s="108" t="s">
        <v>1101</v>
      </c>
      <c r="B39" s="88" t="s">
        <v>1102</v>
      </c>
      <c r="C39" s="73" t="s">
        <v>1102</v>
      </c>
      <c r="D39" s="73" t="s">
        <v>1102</v>
      </c>
      <c r="E39" s="73" t="s">
        <v>1102</v>
      </c>
      <c r="F39" s="73" t="s">
        <v>1102</v>
      </c>
      <c r="G39" s="73" t="s">
        <v>1102</v>
      </c>
      <c r="H39" s="73" t="s">
        <v>1102</v>
      </c>
      <c r="I39" s="217"/>
      <c r="J39" s="122"/>
    </row>
    <row r="40" spans="1:10" ht="28.5">
      <c r="A40" s="108" t="s">
        <v>1103</v>
      </c>
      <c r="B40" s="88">
        <v>0</v>
      </c>
      <c r="C40" s="73">
        <v>0</v>
      </c>
      <c r="D40" s="73">
        <v>0</v>
      </c>
      <c r="E40" s="73">
        <v>0</v>
      </c>
      <c r="F40" s="73">
        <v>0</v>
      </c>
      <c r="G40" s="73">
        <v>0</v>
      </c>
      <c r="H40" s="73">
        <v>0</v>
      </c>
      <c r="I40" s="217"/>
      <c r="J40" s="9"/>
    </row>
    <row r="41" spans="1:10" ht="16.149999999999999" customHeight="1">
      <c r="A41" s="113" t="s">
        <v>1104</v>
      </c>
      <c r="B41" s="88">
        <v>9.5999999999999992E-3</v>
      </c>
      <c r="C41" s="73">
        <v>9.5999999999999992E-3</v>
      </c>
      <c r="D41" s="73">
        <v>9.5999999999999992E-3</v>
      </c>
      <c r="E41" s="73">
        <v>9.5999999999999992E-3</v>
      </c>
      <c r="F41" s="73">
        <v>9.5999999999999992E-3</v>
      </c>
      <c r="G41" s="73">
        <v>9.5999999999999992E-3</v>
      </c>
      <c r="H41" s="73">
        <v>9.5999999999999992E-3</v>
      </c>
      <c r="I41" s="76" t="s">
        <v>628</v>
      </c>
      <c r="J41" s="9" t="s">
        <v>1105</v>
      </c>
    </row>
    <row r="42" spans="1:10" ht="14.45" customHeight="1" thickBot="1">
      <c r="A42" s="92" t="s">
        <v>611</v>
      </c>
      <c r="B42" s="89">
        <v>50</v>
      </c>
      <c r="C42" s="75">
        <v>50</v>
      </c>
      <c r="D42" s="75">
        <v>50</v>
      </c>
      <c r="E42" s="75">
        <v>50</v>
      </c>
      <c r="F42" s="75">
        <v>50</v>
      </c>
      <c r="G42" s="75">
        <v>50</v>
      </c>
      <c r="H42" s="75">
        <v>50</v>
      </c>
      <c r="I42" s="100" t="s">
        <v>570</v>
      </c>
      <c r="J42" s="13"/>
    </row>
  </sheetData>
  <mergeCells count="5">
    <mergeCell ref="I38:I40"/>
    <mergeCell ref="I2:I9"/>
    <mergeCell ref="I12:I19"/>
    <mergeCell ref="I22:I29"/>
    <mergeCell ref="I32:I35"/>
  </mergeCells>
  <phoneticPr fontId="2" type="noConversion"/>
  <hyperlinks>
    <hyperlink ref="I2" r:id="rId1" xr:uid="{6FAF3655-0E9C-43D5-827D-FA184B2F8E42}"/>
    <hyperlink ref="I12" r:id="rId2" xr:uid="{6B2A0651-3D39-4D35-ABF3-42623CF9DF67}"/>
    <hyperlink ref="I22" r:id="rId3" xr:uid="{BE956402-B739-4E2B-852F-141E0BCBFED1}"/>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6E62F-9E7E-4284-967E-09C2F5914EB5}">
  <sheetPr codeName="Hoja13"/>
  <dimension ref="A1:J32"/>
  <sheetViews>
    <sheetView workbookViewId="0">
      <selection activeCell="I7" sqref="I7"/>
    </sheetView>
  </sheetViews>
  <sheetFormatPr defaultColWidth="11.42578125" defaultRowHeight="14.25"/>
  <cols>
    <col min="1" max="1" width="27.85546875" customWidth="1"/>
    <col min="2" max="2" width="12.7109375" bestFit="1" customWidth="1"/>
    <col min="3" max="3" width="11.7109375" customWidth="1"/>
    <col min="4" max="4" width="11.7109375" bestFit="1" customWidth="1"/>
    <col min="5" max="5" width="12.7109375" bestFit="1" customWidth="1"/>
    <col min="7" max="7" width="12.7109375" bestFit="1" customWidth="1"/>
    <col min="9" max="9" width="11.5703125" style="71"/>
    <col min="10" max="10" width="80.7109375" customWidth="1"/>
  </cols>
  <sheetData>
    <row r="1" spans="1:10" ht="28.9" thickBot="1">
      <c r="A1" s="115" t="s">
        <v>424</v>
      </c>
      <c r="B1" s="86">
        <v>2020</v>
      </c>
      <c r="C1" s="80">
        <v>2025</v>
      </c>
      <c r="D1" s="80">
        <v>2030</v>
      </c>
      <c r="E1" s="80">
        <v>2035</v>
      </c>
      <c r="F1" s="80">
        <v>2040</v>
      </c>
      <c r="G1" s="80">
        <v>2045</v>
      </c>
      <c r="H1" s="80">
        <v>2050</v>
      </c>
      <c r="I1" s="107" t="s">
        <v>567</v>
      </c>
      <c r="J1" s="82" t="s">
        <v>568</v>
      </c>
    </row>
    <row r="2" spans="1:10" ht="31.9" customHeight="1">
      <c r="A2" s="119" t="s">
        <v>1106</v>
      </c>
      <c r="B2" s="87">
        <v>730</v>
      </c>
      <c r="C2" s="78">
        <v>481</v>
      </c>
      <c r="D2" s="78">
        <v>338</v>
      </c>
      <c r="E2" s="78">
        <v>281</v>
      </c>
      <c r="F2" s="78">
        <v>237</v>
      </c>
      <c r="G2" s="78">
        <v>217</v>
      </c>
      <c r="H2" s="78">
        <v>199</v>
      </c>
      <c r="I2" s="79" t="s">
        <v>628</v>
      </c>
      <c r="J2" s="98"/>
    </row>
    <row r="3" spans="1:10" ht="28.5">
      <c r="A3" s="108" t="s">
        <v>1107</v>
      </c>
      <c r="B3" s="88" t="s">
        <v>1108</v>
      </c>
      <c r="C3" s="73" t="s">
        <v>1109</v>
      </c>
      <c r="D3" s="73" t="s">
        <v>1110</v>
      </c>
      <c r="E3" s="73" t="s">
        <v>1111</v>
      </c>
      <c r="F3" s="73" t="s">
        <v>1112</v>
      </c>
      <c r="G3" s="73" t="s">
        <v>1113</v>
      </c>
      <c r="H3" s="73" t="s">
        <v>1114</v>
      </c>
      <c r="I3" s="94"/>
      <c r="J3" s="99"/>
    </row>
    <row r="4" spans="1:10">
      <c r="A4" s="91" t="s">
        <v>1115</v>
      </c>
      <c r="B4" s="88">
        <v>0</v>
      </c>
      <c r="C4" s="73">
        <v>0</v>
      </c>
      <c r="D4" s="73">
        <v>0</v>
      </c>
      <c r="E4" s="73">
        <v>0</v>
      </c>
      <c r="F4" s="73">
        <v>0</v>
      </c>
      <c r="G4" s="73">
        <v>0</v>
      </c>
      <c r="H4" s="73">
        <v>0</v>
      </c>
      <c r="I4" s="94"/>
      <c r="J4" s="9"/>
    </row>
    <row r="5" spans="1:10" ht="31.9" customHeight="1">
      <c r="A5" s="108" t="s">
        <v>1116</v>
      </c>
      <c r="B5" s="88">
        <v>242</v>
      </c>
      <c r="C5" s="73">
        <v>236</v>
      </c>
      <c r="D5" s="73">
        <v>225</v>
      </c>
      <c r="E5" s="73">
        <v>214</v>
      </c>
      <c r="F5" s="73">
        <v>203</v>
      </c>
      <c r="G5" s="73">
        <v>192</v>
      </c>
      <c r="H5" s="73">
        <v>182</v>
      </c>
      <c r="I5" s="76" t="s">
        <v>916</v>
      </c>
      <c r="J5" s="9"/>
    </row>
    <row r="6" spans="1:10" ht="30.6" customHeight="1">
      <c r="A6" s="108" t="s">
        <v>1117</v>
      </c>
      <c r="B6" s="88">
        <v>1670</v>
      </c>
      <c r="C6" s="73">
        <v>1590</v>
      </c>
      <c r="D6" s="73">
        <v>1500</v>
      </c>
      <c r="E6" s="73">
        <v>1393</v>
      </c>
      <c r="F6" s="73">
        <v>1286</v>
      </c>
      <c r="G6" s="73">
        <v>1194</v>
      </c>
      <c r="H6" s="73">
        <v>1102</v>
      </c>
      <c r="I6" s="125"/>
      <c r="J6" s="126"/>
    </row>
    <row r="7" spans="1:10" ht="16.899999999999999" customHeight="1">
      <c r="A7" s="91" t="s">
        <v>1118</v>
      </c>
      <c r="B7" s="88">
        <v>2</v>
      </c>
      <c r="C7" s="73">
        <v>2</v>
      </c>
      <c r="D7" s="73">
        <v>2</v>
      </c>
      <c r="E7" s="73">
        <v>2</v>
      </c>
      <c r="F7" s="73">
        <v>2</v>
      </c>
      <c r="G7" s="73">
        <v>2</v>
      </c>
      <c r="H7" s="73">
        <v>2</v>
      </c>
      <c r="I7" s="201" t="s">
        <v>1119</v>
      </c>
      <c r="J7" s="126"/>
    </row>
    <row r="8" spans="1:10" ht="16.899999999999999" customHeight="1">
      <c r="A8" s="91" t="s">
        <v>938</v>
      </c>
      <c r="B8" s="124">
        <v>100</v>
      </c>
      <c r="C8" s="117">
        <v>100</v>
      </c>
      <c r="D8" s="117">
        <v>100</v>
      </c>
      <c r="E8" s="117">
        <v>100</v>
      </c>
      <c r="F8" s="117">
        <v>100</v>
      </c>
      <c r="G8" s="117">
        <v>100</v>
      </c>
      <c r="H8" s="117">
        <v>100</v>
      </c>
      <c r="I8" s="76" t="s">
        <v>1119</v>
      </c>
      <c r="J8" s="9"/>
    </row>
    <row r="9" spans="1:10" ht="14.65" thickBot="1">
      <c r="A9" s="92" t="s">
        <v>611</v>
      </c>
      <c r="B9" s="89">
        <v>20</v>
      </c>
      <c r="C9" s="75">
        <v>30</v>
      </c>
      <c r="D9" s="75">
        <v>30</v>
      </c>
      <c r="E9" s="75">
        <v>30</v>
      </c>
      <c r="F9" s="75">
        <v>30</v>
      </c>
      <c r="G9" s="75">
        <v>30</v>
      </c>
      <c r="H9" s="75">
        <v>30</v>
      </c>
      <c r="I9" s="84"/>
      <c r="J9" s="13"/>
    </row>
    <row r="10" spans="1:10" ht="14.65" thickBot="1"/>
    <row r="11" spans="1:10" ht="43.15" customHeight="1" thickBot="1">
      <c r="A11" s="115" t="s">
        <v>428</v>
      </c>
      <c r="B11" s="86">
        <v>2020</v>
      </c>
      <c r="C11" s="80">
        <v>2025</v>
      </c>
      <c r="D11" s="80">
        <v>2030</v>
      </c>
      <c r="E11" s="80">
        <v>2035</v>
      </c>
      <c r="F11" s="80">
        <v>2040</v>
      </c>
      <c r="G11" s="80">
        <v>2045</v>
      </c>
      <c r="H11" s="80">
        <v>2050</v>
      </c>
      <c r="I11" s="107" t="s">
        <v>567</v>
      </c>
      <c r="J11" s="82" t="s">
        <v>568</v>
      </c>
    </row>
    <row r="12" spans="1:10" ht="64.900000000000006" customHeight="1">
      <c r="A12" s="119" t="s">
        <v>1106</v>
      </c>
      <c r="B12" s="87">
        <v>823.15</v>
      </c>
      <c r="C12" s="78">
        <v>509.61599999999999</v>
      </c>
      <c r="D12" s="78">
        <v>381.78000000000003</v>
      </c>
      <c r="E12" s="78">
        <v>318.74700000000001</v>
      </c>
      <c r="F12" s="78">
        <v>267.64999999999998</v>
      </c>
      <c r="G12" s="78">
        <v>242.232</v>
      </c>
      <c r="H12" s="78">
        <v>224.22</v>
      </c>
      <c r="I12" s="79"/>
      <c r="J12" s="98" t="s">
        <v>1120</v>
      </c>
    </row>
    <row r="13" spans="1:10" ht="28.5">
      <c r="A13" s="108" t="s">
        <v>1107</v>
      </c>
      <c r="B13" s="88" t="s">
        <v>1121</v>
      </c>
      <c r="C13" s="73" t="s">
        <v>1122</v>
      </c>
      <c r="D13" s="73" t="s">
        <v>1123</v>
      </c>
      <c r="E13" s="73" t="s">
        <v>1124</v>
      </c>
      <c r="F13" s="73" t="s">
        <v>1125</v>
      </c>
      <c r="G13" s="73" t="s">
        <v>1126</v>
      </c>
      <c r="H13" s="73" t="s">
        <v>1127</v>
      </c>
      <c r="I13" s="94"/>
      <c r="J13" s="99"/>
    </row>
    <row r="14" spans="1:10">
      <c r="A14" s="91" t="s">
        <v>1115</v>
      </c>
      <c r="B14" s="88">
        <v>0</v>
      </c>
      <c r="C14" s="73">
        <v>0</v>
      </c>
      <c r="D14" s="73">
        <v>0</v>
      </c>
      <c r="E14" s="73">
        <v>0</v>
      </c>
      <c r="F14" s="73">
        <v>0</v>
      </c>
      <c r="G14" s="73">
        <v>0</v>
      </c>
      <c r="H14" s="73">
        <v>0</v>
      </c>
      <c r="I14" s="94"/>
      <c r="J14" s="9"/>
    </row>
    <row r="15" spans="1:10" ht="28.5">
      <c r="A15" s="108" t="s">
        <v>1116</v>
      </c>
      <c r="B15" s="88">
        <v>1535</v>
      </c>
      <c r="C15" s="73">
        <v>1496.5</v>
      </c>
      <c r="D15" s="73">
        <v>1458</v>
      </c>
      <c r="E15" s="73">
        <v>1421.5</v>
      </c>
      <c r="F15" s="73">
        <v>1385</v>
      </c>
      <c r="G15" s="73">
        <v>1350.5</v>
      </c>
      <c r="H15" s="73">
        <v>1316</v>
      </c>
      <c r="I15" s="76"/>
      <c r="J15" s="99" t="s">
        <v>1128</v>
      </c>
    </row>
    <row r="16" spans="1:10" ht="29.45" customHeight="1">
      <c r="A16" s="108" t="s">
        <v>1129</v>
      </c>
      <c r="B16" s="88">
        <v>50</v>
      </c>
      <c r="C16" s="73">
        <v>50</v>
      </c>
      <c r="D16" s="73">
        <v>50</v>
      </c>
      <c r="E16" s="73">
        <v>50</v>
      </c>
      <c r="F16" s="73">
        <v>50</v>
      </c>
      <c r="G16" s="73">
        <v>50</v>
      </c>
      <c r="H16" s="73">
        <v>50</v>
      </c>
      <c r="I16" s="76" t="s">
        <v>1119</v>
      </c>
      <c r="J16" s="99"/>
    </row>
    <row r="17" spans="1:10" ht="17.45" customHeight="1">
      <c r="A17" s="91" t="s">
        <v>938</v>
      </c>
      <c r="B17" s="88">
        <v>900</v>
      </c>
      <c r="C17" s="73">
        <v>900</v>
      </c>
      <c r="D17" s="73">
        <v>900</v>
      </c>
      <c r="E17" s="73">
        <v>900</v>
      </c>
      <c r="F17" s="73">
        <v>900</v>
      </c>
      <c r="G17" s="73">
        <v>900</v>
      </c>
      <c r="H17" s="73">
        <v>900</v>
      </c>
      <c r="I17" s="76" t="s">
        <v>1119</v>
      </c>
      <c r="J17" s="9"/>
    </row>
    <row r="18" spans="1:10" ht="14.65" thickBot="1">
      <c r="A18" s="92" t="s">
        <v>611</v>
      </c>
      <c r="B18" s="89">
        <v>25</v>
      </c>
      <c r="C18" s="75">
        <v>30</v>
      </c>
      <c r="D18" s="75">
        <v>30</v>
      </c>
      <c r="E18" s="75">
        <v>30</v>
      </c>
      <c r="F18" s="75">
        <v>30</v>
      </c>
      <c r="G18" s="75">
        <v>30</v>
      </c>
      <c r="H18" s="75">
        <v>30</v>
      </c>
      <c r="I18" s="84"/>
      <c r="J18" s="13"/>
    </row>
    <row r="19" spans="1:10" ht="14.65" thickBot="1"/>
    <row r="20" spans="1:10" ht="14.65" thickBot="1">
      <c r="A20" s="115" t="s">
        <v>527</v>
      </c>
      <c r="B20" s="86">
        <v>2020</v>
      </c>
      <c r="C20" s="80">
        <v>2025</v>
      </c>
      <c r="D20" s="80">
        <v>2030</v>
      </c>
      <c r="E20" s="80">
        <v>2035</v>
      </c>
      <c r="F20" s="80">
        <v>2040</v>
      </c>
      <c r="G20" s="80">
        <v>2045</v>
      </c>
      <c r="H20" s="80">
        <v>2050</v>
      </c>
      <c r="I20" s="81" t="s">
        <v>567</v>
      </c>
      <c r="J20" s="82" t="s">
        <v>568</v>
      </c>
    </row>
    <row r="21" spans="1:10" ht="18.600000000000001" customHeight="1">
      <c r="A21" s="119" t="s">
        <v>1130</v>
      </c>
      <c r="B21" s="87">
        <v>142</v>
      </c>
      <c r="C21" s="78">
        <v>142</v>
      </c>
      <c r="D21" s="78">
        <v>142</v>
      </c>
      <c r="E21" s="78">
        <v>142</v>
      </c>
      <c r="F21" s="78">
        <v>142</v>
      </c>
      <c r="G21" s="78">
        <v>142</v>
      </c>
      <c r="H21" s="78">
        <v>142</v>
      </c>
      <c r="I21" s="79" t="s">
        <v>628</v>
      </c>
      <c r="J21" s="98"/>
    </row>
    <row r="22" spans="1:10" ht="27" customHeight="1">
      <c r="A22" s="108" t="s">
        <v>1131</v>
      </c>
      <c r="B22" s="88" t="s">
        <v>1132</v>
      </c>
      <c r="C22" s="73" t="s">
        <v>1132</v>
      </c>
      <c r="D22" s="73" t="s">
        <v>1132</v>
      </c>
      <c r="E22" s="73" t="s">
        <v>1132</v>
      </c>
      <c r="F22" s="73" t="s">
        <v>1132</v>
      </c>
      <c r="G22" s="73" t="s">
        <v>1132</v>
      </c>
      <c r="H22" s="73" t="s">
        <v>1132</v>
      </c>
      <c r="I22" s="94"/>
      <c r="J22" s="99"/>
    </row>
    <row r="23" spans="1:10">
      <c r="A23" s="91" t="s">
        <v>1115</v>
      </c>
      <c r="B23" s="88">
        <v>0</v>
      </c>
      <c r="C23" s="73">
        <v>0</v>
      </c>
      <c r="D23" s="73">
        <v>0</v>
      </c>
      <c r="E23" s="73">
        <v>0</v>
      </c>
      <c r="F23" s="73">
        <v>0</v>
      </c>
      <c r="G23" s="73">
        <v>0</v>
      </c>
      <c r="H23" s="73">
        <v>0</v>
      </c>
      <c r="I23" s="94"/>
      <c r="J23" s="9"/>
    </row>
    <row r="24" spans="1:10" s="69" customFormat="1" ht="15" customHeight="1">
      <c r="A24" s="91" t="s">
        <v>914</v>
      </c>
      <c r="B24" s="88">
        <v>0</v>
      </c>
      <c r="C24" s="73">
        <v>0</v>
      </c>
      <c r="D24" s="73">
        <v>0</v>
      </c>
      <c r="E24" s="73">
        <v>0</v>
      </c>
      <c r="F24" s="73">
        <v>0</v>
      </c>
      <c r="G24" s="73">
        <v>0</v>
      </c>
      <c r="H24" s="73">
        <v>0</v>
      </c>
      <c r="I24" s="76" t="s">
        <v>916</v>
      </c>
      <c r="J24" s="126"/>
    </row>
    <row r="25" spans="1:10">
      <c r="A25" s="91" t="s">
        <v>918</v>
      </c>
      <c r="B25" s="88">
        <v>100</v>
      </c>
      <c r="C25" s="73">
        <v>100</v>
      </c>
      <c r="D25" s="73">
        <v>100</v>
      </c>
      <c r="E25" s="73">
        <v>100</v>
      </c>
      <c r="F25" s="73">
        <v>100</v>
      </c>
      <c r="G25" s="73">
        <v>100</v>
      </c>
      <c r="H25" s="73">
        <v>100</v>
      </c>
      <c r="I25" s="94"/>
      <c r="J25" s="9"/>
    </row>
    <row r="26" spans="1:10" ht="14.65" thickBot="1">
      <c r="A26" s="92" t="s">
        <v>611</v>
      </c>
      <c r="B26" s="89">
        <v>30</v>
      </c>
      <c r="C26" s="75">
        <v>30</v>
      </c>
      <c r="D26" s="75">
        <v>30</v>
      </c>
      <c r="E26" s="75">
        <v>30</v>
      </c>
      <c r="F26" s="75">
        <v>30</v>
      </c>
      <c r="G26" s="75">
        <v>30</v>
      </c>
      <c r="H26" s="75">
        <v>30</v>
      </c>
      <c r="I26" s="84"/>
      <c r="J26" s="13"/>
    </row>
    <row r="27" spans="1:10" ht="14.65" thickBot="1"/>
    <row r="28" spans="1:10" ht="28.9" thickBot="1">
      <c r="A28" s="115" t="s">
        <v>1133</v>
      </c>
      <c r="B28" s="86">
        <v>2020</v>
      </c>
      <c r="C28" s="80">
        <v>2025</v>
      </c>
      <c r="D28" s="80">
        <v>2030</v>
      </c>
      <c r="E28" s="80">
        <v>2035</v>
      </c>
      <c r="F28" s="80">
        <v>2040</v>
      </c>
      <c r="G28" s="80">
        <v>2045</v>
      </c>
      <c r="H28" s="80">
        <v>2050</v>
      </c>
      <c r="I28" s="107" t="s">
        <v>567</v>
      </c>
      <c r="J28" s="82" t="s">
        <v>568</v>
      </c>
    </row>
    <row r="29" spans="1:10" ht="15.6" customHeight="1">
      <c r="A29" s="119" t="s">
        <v>1134</v>
      </c>
      <c r="B29" s="87">
        <v>0</v>
      </c>
      <c r="C29" s="78">
        <v>0</v>
      </c>
      <c r="D29" s="78">
        <v>0</v>
      </c>
      <c r="E29" s="78">
        <v>0</v>
      </c>
      <c r="F29" s="78">
        <v>0</v>
      </c>
      <c r="G29" s="78">
        <v>0</v>
      </c>
      <c r="H29" s="78">
        <v>0</v>
      </c>
      <c r="I29" s="79" t="s">
        <v>628</v>
      </c>
      <c r="J29" s="98"/>
    </row>
    <row r="30" spans="1:10" ht="28.5">
      <c r="A30" s="108" t="s">
        <v>1135</v>
      </c>
      <c r="B30" s="88">
        <v>0</v>
      </c>
      <c r="C30" s="73">
        <v>0</v>
      </c>
      <c r="D30" s="73">
        <v>0</v>
      </c>
      <c r="E30" s="73">
        <v>0</v>
      </c>
      <c r="F30" s="73">
        <v>0</v>
      </c>
      <c r="G30" s="73">
        <v>0</v>
      </c>
      <c r="H30" s="73">
        <v>0</v>
      </c>
      <c r="I30" s="94"/>
      <c r="J30" s="99"/>
    </row>
    <row r="31" spans="1:10">
      <c r="A31" s="91" t="s">
        <v>1136</v>
      </c>
      <c r="B31" s="88">
        <v>0</v>
      </c>
      <c r="C31" s="73">
        <v>0</v>
      </c>
      <c r="D31" s="73">
        <v>0</v>
      </c>
      <c r="E31" s="73">
        <v>0</v>
      </c>
      <c r="F31" s="73">
        <v>0</v>
      </c>
      <c r="G31" s="73">
        <v>0</v>
      </c>
      <c r="H31" s="73">
        <v>0</v>
      </c>
      <c r="I31" s="94"/>
      <c r="J31" s="9"/>
    </row>
    <row r="32" spans="1:10" ht="14.65" thickBot="1">
      <c r="A32" s="92" t="s">
        <v>611</v>
      </c>
      <c r="B32" s="89">
        <v>50</v>
      </c>
      <c r="C32" s="75">
        <v>50</v>
      </c>
      <c r="D32" s="75">
        <v>50</v>
      </c>
      <c r="E32" s="75">
        <v>50</v>
      </c>
      <c r="F32" s="75">
        <v>50</v>
      </c>
      <c r="G32" s="75">
        <v>50</v>
      </c>
      <c r="H32" s="75">
        <v>50</v>
      </c>
      <c r="I32" s="84"/>
      <c r="J32" s="13"/>
    </row>
  </sheetData>
  <phoneticPr fontId="2" type="noConversion"/>
  <hyperlinks>
    <hyperlink ref="I2" r:id="rId1" display="https://ars.els-cdn.com/content/image/1-s2.0-S1364032121008352-mmc1.pdf" xr:uid="{AB624705-B996-46AF-A565-842D2C1EF221}"/>
    <hyperlink ref="I5" r:id="rId2" display="https://ars.els-cdn.com/content/image/1-s2.0-S0360544221007167-mmc1.pdf" xr:uid="{5C0DA1F1-5596-4566-A50B-2299E637BDF6}"/>
    <hyperlink ref="I21" r:id="rId3" display="https://ars.els-cdn.com/content/image/1-s2.0-S1364032121008352-mmc1.pdf" xr:uid="{8CF46E31-29F5-49F1-877E-6DA9E434B6D6}"/>
    <hyperlink ref="I24" r:id="rId4" display="https://ars.els-cdn.com/content/image/1-s2.0-S0360544221007167-mmc1.pdf" xr:uid="{ABD2F548-F8A8-45DD-8590-B34DCC2409CB}"/>
    <hyperlink ref="I29" r:id="rId5" display="https://ars.els-cdn.com/content/image/1-s2.0-S1364032121008352-mmc1.pdf" xr:uid="{2ED871C8-A9F6-4884-AC7F-86FC3715B571}"/>
    <hyperlink ref="I7" r:id="rId6" xr:uid="{EE546850-B59E-41BB-A00A-9E5398EE4F24}"/>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152F8-03B8-4CDA-9934-3E03F9B658A8}">
  <sheetPr codeName="Hoja14"/>
  <dimension ref="A1:J32"/>
  <sheetViews>
    <sheetView topLeftCell="A13" workbookViewId="0">
      <selection activeCell="A29" sqref="A29"/>
    </sheetView>
  </sheetViews>
  <sheetFormatPr defaultColWidth="11.42578125" defaultRowHeight="14.25"/>
  <cols>
    <col min="1" max="1" width="32.140625" bestFit="1" customWidth="1"/>
    <col min="3" max="3" width="12.5703125" customWidth="1"/>
    <col min="9" max="9" width="11.5703125" style="71"/>
    <col min="10" max="10" width="11.42578125" bestFit="1" customWidth="1"/>
  </cols>
  <sheetData>
    <row r="1" spans="1:10" ht="28.9" thickBot="1">
      <c r="A1" s="115" t="s">
        <v>417</v>
      </c>
      <c r="B1" s="86">
        <v>2020</v>
      </c>
      <c r="C1" s="80">
        <v>2025</v>
      </c>
      <c r="D1" s="80">
        <v>2030</v>
      </c>
      <c r="E1" s="80">
        <v>2035</v>
      </c>
      <c r="F1" s="80">
        <v>2040</v>
      </c>
      <c r="G1" s="80">
        <v>2045</v>
      </c>
      <c r="H1" s="80">
        <v>2050</v>
      </c>
      <c r="I1" s="107" t="s">
        <v>567</v>
      </c>
      <c r="J1" s="82" t="s">
        <v>568</v>
      </c>
    </row>
    <row r="2" spans="1:10" ht="18" customHeight="1">
      <c r="A2" s="90" t="s">
        <v>1137</v>
      </c>
      <c r="B2" s="87">
        <v>40</v>
      </c>
      <c r="C2" s="78">
        <v>34.792000000000002</v>
      </c>
      <c r="D2" s="78">
        <v>30.207999999999998</v>
      </c>
      <c r="E2" s="78">
        <v>26.25</v>
      </c>
      <c r="F2" s="78">
        <v>22.917000000000002</v>
      </c>
      <c r="G2" s="78">
        <v>20</v>
      </c>
      <c r="H2" s="78">
        <v>17.292000000000002</v>
      </c>
      <c r="I2" s="79" t="s">
        <v>628</v>
      </c>
      <c r="J2" s="98"/>
    </row>
    <row r="3" spans="1:10" ht="28.5">
      <c r="A3" s="108" t="s">
        <v>1138</v>
      </c>
      <c r="B3" s="88" t="s">
        <v>1139</v>
      </c>
      <c r="C3" s="73" t="s">
        <v>1140</v>
      </c>
      <c r="D3" s="73" t="s">
        <v>1141</v>
      </c>
      <c r="E3" s="73" t="s">
        <v>1142</v>
      </c>
      <c r="F3" s="73" t="s">
        <v>1143</v>
      </c>
      <c r="G3" s="73" t="s">
        <v>1144</v>
      </c>
      <c r="H3" s="73" t="s">
        <v>1145</v>
      </c>
      <c r="I3" s="94"/>
      <c r="J3" s="99"/>
    </row>
    <row r="4" spans="1:10">
      <c r="A4" s="91" t="s">
        <v>1146</v>
      </c>
      <c r="B4" s="88">
        <v>0</v>
      </c>
      <c r="C4" s="73">
        <v>0</v>
      </c>
      <c r="D4" s="73">
        <v>0</v>
      </c>
      <c r="E4" s="73">
        <v>0</v>
      </c>
      <c r="F4" s="73">
        <v>0</v>
      </c>
      <c r="G4" s="73">
        <v>0</v>
      </c>
      <c r="H4" s="73">
        <v>0</v>
      </c>
      <c r="I4" s="94"/>
      <c r="J4" s="9"/>
    </row>
    <row r="5" spans="1:10">
      <c r="A5" s="91" t="s">
        <v>1147</v>
      </c>
      <c r="B5" s="88">
        <v>3.6</v>
      </c>
      <c r="C5" s="73">
        <v>3.35</v>
      </c>
      <c r="D5" s="73">
        <v>3.15</v>
      </c>
      <c r="E5" s="73">
        <v>3</v>
      </c>
      <c r="F5" s="73">
        <v>2.85</v>
      </c>
      <c r="G5" s="73">
        <v>2.7</v>
      </c>
      <c r="H5" s="73">
        <v>2.6</v>
      </c>
      <c r="I5" s="76"/>
      <c r="J5" s="9"/>
    </row>
    <row r="6" spans="1:10">
      <c r="A6" s="91" t="s">
        <v>1148</v>
      </c>
      <c r="B6" s="88">
        <v>0</v>
      </c>
      <c r="C6" s="73">
        <v>0</v>
      </c>
      <c r="D6" s="73">
        <v>0</v>
      </c>
      <c r="E6" s="73">
        <v>0</v>
      </c>
      <c r="F6" s="73">
        <v>0</v>
      </c>
      <c r="G6" s="73">
        <v>0</v>
      </c>
      <c r="H6" s="73">
        <v>0</v>
      </c>
      <c r="I6" s="125"/>
      <c r="J6" s="126"/>
    </row>
    <row r="7" spans="1:10">
      <c r="A7" s="91" t="s">
        <v>938</v>
      </c>
      <c r="B7" s="124" t="s">
        <v>651</v>
      </c>
      <c r="C7" s="117" t="s">
        <v>651</v>
      </c>
      <c r="D7" s="117" t="s">
        <v>651</v>
      </c>
      <c r="E7" s="117" t="s">
        <v>651</v>
      </c>
      <c r="F7" s="117" t="s">
        <v>651</v>
      </c>
      <c r="G7" s="117" t="s">
        <v>651</v>
      </c>
      <c r="H7" s="117" t="s">
        <v>651</v>
      </c>
      <c r="I7" s="76"/>
      <c r="J7" s="9"/>
    </row>
    <row r="8" spans="1:10" ht="14.65" thickBot="1">
      <c r="A8" s="92" t="s">
        <v>611</v>
      </c>
      <c r="B8" s="89">
        <v>25</v>
      </c>
      <c r="C8" s="75">
        <v>30</v>
      </c>
      <c r="D8" s="75">
        <v>30</v>
      </c>
      <c r="E8" s="75">
        <v>30</v>
      </c>
      <c r="F8" s="75">
        <v>30</v>
      </c>
      <c r="G8" s="75">
        <v>30</v>
      </c>
      <c r="H8" s="75">
        <v>30</v>
      </c>
      <c r="I8" s="84"/>
      <c r="J8" s="13"/>
    </row>
    <row r="9" spans="1:10" ht="14.65" thickBot="1"/>
    <row r="10" spans="1:10" ht="14.65" thickBot="1">
      <c r="A10" s="115" t="s">
        <v>420</v>
      </c>
      <c r="B10" s="86">
        <v>2020</v>
      </c>
      <c r="C10" s="80">
        <v>2025</v>
      </c>
      <c r="D10" s="80">
        <v>2030</v>
      </c>
      <c r="E10" s="80">
        <v>2035</v>
      </c>
      <c r="F10" s="80">
        <v>2040</v>
      </c>
      <c r="G10" s="80">
        <v>2045</v>
      </c>
      <c r="H10" s="80">
        <v>2050</v>
      </c>
      <c r="I10" s="81" t="s">
        <v>567</v>
      </c>
      <c r="J10" s="82" t="s">
        <v>568</v>
      </c>
    </row>
    <row r="11" spans="1:10" ht="16.899999999999999" customHeight="1">
      <c r="A11" s="90" t="s">
        <v>1137</v>
      </c>
      <c r="B11" s="87">
        <v>83.333299999999994</v>
      </c>
      <c r="C11" s="78">
        <v>83.333299999999994</v>
      </c>
      <c r="D11" s="78">
        <v>83.333299999999994</v>
      </c>
      <c r="E11" s="78">
        <v>83.333299999999994</v>
      </c>
      <c r="F11" s="78">
        <v>83.333299999999994</v>
      </c>
      <c r="G11" s="78">
        <v>83.333299999999994</v>
      </c>
      <c r="H11" s="78">
        <v>83.333299999999994</v>
      </c>
      <c r="I11" s="79" t="s">
        <v>628</v>
      </c>
      <c r="J11" s="98"/>
    </row>
    <row r="12" spans="1:10" ht="28.5">
      <c r="A12" s="108" t="s">
        <v>1138</v>
      </c>
      <c r="B12" s="88" t="s">
        <v>1149</v>
      </c>
      <c r="C12" s="73" t="s">
        <v>1149</v>
      </c>
      <c r="D12" s="73" t="s">
        <v>1149</v>
      </c>
      <c r="E12" s="73" t="s">
        <v>1149</v>
      </c>
      <c r="F12" s="73" t="s">
        <v>1149</v>
      </c>
      <c r="G12" s="73" t="s">
        <v>1149</v>
      </c>
      <c r="H12" s="73" t="s">
        <v>1149</v>
      </c>
      <c r="I12" s="94"/>
      <c r="J12" s="99"/>
    </row>
    <row r="13" spans="1:10">
      <c r="A13" s="91" t="s">
        <v>1146</v>
      </c>
      <c r="B13" s="88">
        <v>0</v>
      </c>
      <c r="C13" s="73">
        <v>0</v>
      </c>
      <c r="D13" s="73">
        <v>0</v>
      </c>
      <c r="E13" s="73">
        <v>0</v>
      </c>
      <c r="F13" s="73">
        <v>0</v>
      </c>
      <c r="G13" s="73">
        <v>0</v>
      </c>
      <c r="H13" s="73">
        <v>0</v>
      </c>
      <c r="I13" s="94"/>
      <c r="J13" s="9"/>
    </row>
    <row r="14" spans="1:10">
      <c r="A14" s="91" t="s">
        <v>1147</v>
      </c>
      <c r="B14" s="88">
        <v>2.5</v>
      </c>
      <c r="C14" s="73">
        <v>2.5</v>
      </c>
      <c r="D14" s="73">
        <v>2.5</v>
      </c>
      <c r="E14" s="73">
        <v>2.5</v>
      </c>
      <c r="F14" s="73">
        <v>2.5</v>
      </c>
      <c r="G14" s="73">
        <v>2.5</v>
      </c>
      <c r="H14" s="73">
        <v>2.5</v>
      </c>
      <c r="I14" s="76"/>
      <c r="J14" s="9"/>
    </row>
    <row r="15" spans="1:10">
      <c r="A15" s="91" t="s">
        <v>1148</v>
      </c>
      <c r="B15" s="88">
        <v>85</v>
      </c>
      <c r="C15" s="73">
        <v>85</v>
      </c>
      <c r="D15" s="73">
        <v>85</v>
      </c>
      <c r="E15" s="73">
        <v>85</v>
      </c>
      <c r="F15" s="73">
        <v>85</v>
      </c>
      <c r="G15" s="73">
        <v>85</v>
      </c>
      <c r="H15" s="73">
        <v>85</v>
      </c>
      <c r="I15" s="125"/>
      <c r="J15" s="126"/>
    </row>
    <row r="16" spans="1:10">
      <c r="A16" s="91" t="s">
        <v>938</v>
      </c>
      <c r="B16" s="124">
        <v>100</v>
      </c>
      <c r="C16" s="117">
        <v>100</v>
      </c>
      <c r="D16" s="117">
        <v>100</v>
      </c>
      <c r="E16" s="117">
        <v>100</v>
      </c>
      <c r="F16" s="117">
        <v>100</v>
      </c>
      <c r="G16" s="117">
        <v>100</v>
      </c>
      <c r="H16" s="117">
        <v>100</v>
      </c>
      <c r="I16" s="76"/>
      <c r="J16" s="9"/>
    </row>
    <row r="17" spans="1:10" ht="14.65" thickBot="1">
      <c r="A17" s="92" t="s">
        <v>611</v>
      </c>
      <c r="B17" s="89">
        <v>25</v>
      </c>
      <c r="C17" s="75">
        <v>25</v>
      </c>
      <c r="D17" s="75">
        <v>25</v>
      </c>
      <c r="E17" s="75">
        <v>25</v>
      </c>
      <c r="F17" s="75">
        <v>25</v>
      </c>
      <c r="G17" s="75">
        <v>25</v>
      </c>
      <c r="H17" s="75">
        <v>25</v>
      </c>
      <c r="I17" s="84"/>
      <c r="J17" s="13"/>
    </row>
    <row r="18" spans="1:10" ht="14.65" thickBot="1"/>
    <row r="19" spans="1:10" ht="28.9" thickBot="1">
      <c r="A19" s="115" t="s">
        <v>422</v>
      </c>
      <c r="B19" s="86">
        <v>2020</v>
      </c>
      <c r="C19" s="80">
        <v>2025</v>
      </c>
      <c r="D19" s="80">
        <v>2030</v>
      </c>
      <c r="E19" s="80">
        <v>2035</v>
      </c>
      <c r="F19" s="80">
        <v>2040</v>
      </c>
      <c r="G19" s="80">
        <v>2045</v>
      </c>
      <c r="H19" s="80">
        <v>2050</v>
      </c>
      <c r="I19" s="107" t="s">
        <v>567</v>
      </c>
      <c r="J19" s="82" t="s">
        <v>568</v>
      </c>
    </row>
    <row r="20" spans="1:10" ht="17.45" customHeight="1">
      <c r="A20" s="90" t="s">
        <v>1137</v>
      </c>
      <c r="B20" s="87">
        <v>50</v>
      </c>
      <c r="C20" s="78">
        <v>43.5</v>
      </c>
      <c r="D20" s="78">
        <v>37.762500000000003</v>
      </c>
      <c r="E20" s="78">
        <v>32.8125</v>
      </c>
      <c r="F20" s="78">
        <v>28.646000000000001</v>
      </c>
      <c r="G20" s="78">
        <v>25</v>
      </c>
      <c r="H20" s="78">
        <v>21.617000000000001</v>
      </c>
      <c r="I20" s="79" t="s">
        <v>628</v>
      </c>
      <c r="J20" s="98"/>
    </row>
    <row r="21" spans="1:10" ht="28.5">
      <c r="A21" s="108" t="s">
        <v>1138</v>
      </c>
      <c r="B21" s="88" t="s">
        <v>1150</v>
      </c>
      <c r="C21" s="73" t="s">
        <v>1151</v>
      </c>
      <c r="D21" s="73" t="s">
        <v>1152</v>
      </c>
      <c r="E21" s="73" t="s">
        <v>1153</v>
      </c>
      <c r="F21" s="73" t="s">
        <v>1154</v>
      </c>
      <c r="G21" s="73" t="s">
        <v>1155</v>
      </c>
      <c r="H21" s="73" t="s">
        <v>1156</v>
      </c>
      <c r="I21" s="94"/>
      <c r="J21" s="99"/>
    </row>
    <row r="22" spans="1:10">
      <c r="A22" s="91" t="s">
        <v>1146</v>
      </c>
      <c r="B22" s="88">
        <v>0</v>
      </c>
      <c r="C22" s="73">
        <v>0</v>
      </c>
      <c r="D22" s="73">
        <v>0</v>
      </c>
      <c r="E22" s="73">
        <v>0</v>
      </c>
      <c r="F22" s="73">
        <v>0</v>
      </c>
      <c r="G22" s="73">
        <v>0</v>
      </c>
      <c r="H22" s="73">
        <v>0</v>
      </c>
      <c r="I22" s="94"/>
      <c r="J22" s="9"/>
    </row>
    <row r="23" spans="1:10">
      <c r="A23" s="91" t="s">
        <v>1147</v>
      </c>
      <c r="B23" s="88">
        <v>1.5</v>
      </c>
      <c r="C23" s="73">
        <v>1.5</v>
      </c>
      <c r="D23" s="73">
        <v>1.5</v>
      </c>
      <c r="E23" s="73">
        <v>1.5</v>
      </c>
      <c r="F23" s="73">
        <v>1.5</v>
      </c>
      <c r="G23" s="73">
        <v>1.5</v>
      </c>
      <c r="H23" s="73">
        <v>1.5</v>
      </c>
      <c r="I23" s="76"/>
      <c r="J23" s="9"/>
    </row>
    <row r="24" spans="1:10">
      <c r="A24" s="91" t="s">
        <v>1148</v>
      </c>
      <c r="B24" s="88">
        <v>51</v>
      </c>
      <c r="C24" s="73">
        <v>44</v>
      </c>
      <c r="D24" s="73">
        <v>38</v>
      </c>
      <c r="E24" s="73">
        <v>32</v>
      </c>
      <c r="F24" s="73">
        <v>28</v>
      </c>
      <c r="G24" s="73">
        <v>28</v>
      </c>
      <c r="H24" s="73">
        <v>28</v>
      </c>
      <c r="I24" s="125"/>
      <c r="J24" s="126"/>
    </row>
    <row r="25" spans="1:10">
      <c r="A25" s="91" t="s">
        <v>938</v>
      </c>
      <c r="B25" s="124">
        <v>100</v>
      </c>
      <c r="C25" s="117">
        <v>100</v>
      </c>
      <c r="D25" s="117">
        <v>100</v>
      </c>
      <c r="E25" s="117">
        <v>100</v>
      </c>
      <c r="F25" s="117">
        <v>100</v>
      </c>
      <c r="G25" s="117">
        <v>100</v>
      </c>
      <c r="H25" s="117">
        <v>100</v>
      </c>
      <c r="I25" s="76"/>
      <c r="J25" s="9"/>
    </row>
    <row r="26" spans="1:10" ht="14.65" thickBot="1">
      <c r="A26" s="92" t="s">
        <v>611</v>
      </c>
      <c r="B26" s="89">
        <v>25</v>
      </c>
      <c r="C26" s="75">
        <v>25</v>
      </c>
      <c r="D26" s="75">
        <v>25</v>
      </c>
      <c r="E26" s="75">
        <v>25</v>
      </c>
      <c r="F26" s="75">
        <v>25</v>
      </c>
      <c r="G26" s="75">
        <v>25</v>
      </c>
      <c r="H26" s="75">
        <v>25</v>
      </c>
      <c r="I26" s="84"/>
      <c r="J26" s="13"/>
    </row>
    <row r="27" spans="1:10" ht="14.65" thickBot="1"/>
    <row r="28" spans="1:10" ht="14.65" thickBot="1">
      <c r="A28" s="115" t="s">
        <v>521</v>
      </c>
      <c r="B28" s="86">
        <v>2020</v>
      </c>
      <c r="C28" s="80">
        <v>2025</v>
      </c>
      <c r="D28" s="80">
        <v>2030</v>
      </c>
      <c r="E28" s="80">
        <v>2035</v>
      </c>
      <c r="F28" s="80">
        <v>2040</v>
      </c>
      <c r="G28" s="80">
        <v>2045</v>
      </c>
      <c r="H28" s="80">
        <v>2050</v>
      </c>
      <c r="I28" s="81" t="s">
        <v>567</v>
      </c>
      <c r="J28" s="82" t="s">
        <v>568</v>
      </c>
    </row>
    <row r="29" spans="1:10" ht="16.899999999999999" customHeight="1">
      <c r="A29" s="90" t="s">
        <v>1157</v>
      </c>
      <c r="B29" s="87">
        <v>64.59</v>
      </c>
      <c r="C29" s="78">
        <v>64.59</v>
      </c>
      <c r="D29" s="78">
        <v>64.59</v>
      </c>
      <c r="E29" s="78">
        <v>64.59</v>
      </c>
      <c r="F29" s="78">
        <v>64.59</v>
      </c>
      <c r="G29" s="78">
        <v>64.59</v>
      </c>
      <c r="H29" s="78">
        <v>64.59</v>
      </c>
      <c r="I29" s="79" t="s">
        <v>628</v>
      </c>
      <c r="J29" s="98"/>
    </row>
    <row r="30" spans="1:10" ht="28.5">
      <c r="A30" s="108" t="s">
        <v>1054</v>
      </c>
      <c r="B30" s="88" t="s">
        <v>1158</v>
      </c>
      <c r="C30" s="73" t="s">
        <v>1158</v>
      </c>
      <c r="D30" s="73" t="s">
        <v>1158</v>
      </c>
      <c r="E30" s="73" t="s">
        <v>1158</v>
      </c>
      <c r="F30" s="73" t="s">
        <v>1158</v>
      </c>
      <c r="G30" s="73" t="s">
        <v>1158</v>
      </c>
      <c r="H30" s="73" t="s">
        <v>1158</v>
      </c>
      <c r="I30" s="94"/>
      <c r="J30" s="99"/>
    </row>
    <row r="31" spans="1:10">
      <c r="A31" s="91" t="s">
        <v>1146</v>
      </c>
      <c r="B31" s="88">
        <v>0</v>
      </c>
      <c r="C31" s="73">
        <v>0</v>
      </c>
      <c r="D31" s="73">
        <v>0</v>
      </c>
      <c r="E31" s="73">
        <v>0</v>
      </c>
      <c r="F31" s="73">
        <v>0</v>
      </c>
      <c r="G31" s="73">
        <v>0</v>
      </c>
      <c r="H31" s="73">
        <v>0</v>
      </c>
      <c r="I31" s="94"/>
      <c r="J31" s="9"/>
    </row>
    <row r="32" spans="1:10" ht="14.65" thickBot="1">
      <c r="A32" s="92" t="s">
        <v>611</v>
      </c>
      <c r="B32" s="89">
        <v>50</v>
      </c>
      <c r="C32" s="75">
        <v>50</v>
      </c>
      <c r="D32" s="75">
        <v>50</v>
      </c>
      <c r="E32" s="75">
        <v>50</v>
      </c>
      <c r="F32" s="75">
        <v>50</v>
      </c>
      <c r="G32" s="75">
        <v>50</v>
      </c>
      <c r="H32" s="75">
        <v>50</v>
      </c>
      <c r="I32" s="84"/>
      <c r="J32" s="13"/>
    </row>
  </sheetData>
  <phoneticPr fontId="2" type="noConversion"/>
  <hyperlinks>
    <hyperlink ref="I2" r:id="rId1" display="https://ars.els-cdn.com/content/image/1-s2.0-S1364032121008352-mmc1.pdf" xr:uid="{7C6F3A90-F5CD-4C54-9807-BAC1E0A69A40}"/>
    <hyperlink ref="I11" r:id="rId2" display="https://ars.els-cdn.com/content/image/1-s2.0-S1364032121008352-mmc1.pdf" xr:uid="{355E1472-F7E6-47BD-8487-170F61533249}"/>
    <hyperlink ref="I20" r:id="rId3" display="https://ars.els-cdn.com/content/image/1-s2.0-S1364032121008352-mmc1.pdf" xr:uid="{422128EC-ACA8-43F7-AFF9-B4B662652BFA}"/>
    <hyperlink ref="I29" r:id="rId4" display="https://ars.els-cdn.com/content/image/1-s2.0-S1364032121008352-mmc1.pdf" xr:uid="{9F582403-E5E7-47E6-9EAE-BDD38A3AF7B6}"/>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A89B3-9F94-4690-A634-742DAF694B35}">
  <sheetPr codeName="Hoja15"/>
  <dimension ref="A1:J151"/>
  <sheetViews>
    <sheetView topLeftCell="A121" workbookViewId="0">
      <selection activeCell="D33" sqref="D33"/>
    </sheetView>
  </sheetViews>
  <sheetFormatPr defaultColWidth="11.42578125" defaultRowHeight="14.25"/>
  <cols>
    <col min="1" max="1" width="28.140625" style="32" customWidth="1"/>
    <col min="2" max="8" width="11.7109375" bestFit="1" customWidth="1"/>
    <col min="9" max="9" width="11.5703125" style="71"/>
    <col min="10" max="10" width="85" style="33" customWidth="1"/>
  </cols>
  <sheetData>
    <row r="1" spans="1:10" ht="28.9" thickBot="1">
      <c r="A1" s="115" t="s">
        <v>333</v>
      </c>
      <c r="B1" s="86">
        <v>2020</v>
      </c>
      <c r="C1" s="80">
        <v>2025</v>
      </c>
      <c r="D1" s="80">
        <v>2030</v>
      </c>
      <c r="E1" s="80">
        <v>2035</v>
      </c>
      <c r="F1" s="80">
        <v>2040</v>
      </c>
      <c r="G1" s="80">
        <v>2045</v>
      </c>
      <c r="H1" s="80">
        <v>2050</v>
      </c>
      <c r="I1" s="107" t="s">
        <v>567</v>
      </c>
      <c r="J1" s="82" t="s">
        <v>568</v>
      </c>
    </row>
    <row r="2" spans="1:10">
      <c r="A2" s="119" t="s">
        <v>761</v>
      </c>
      <c r="B2" s="127">
        <v>775</v>
      </c>
      <c r="C2" s="128">
        <v>775</v>
      </c>
      <c r="D2" s="128">
        <v>775</v>
      </c>
      <c r="E2" s="128">
        <v>775</v>
      </c>
      <c r="F2" s="128">
        <v>775</v>
      </c>
      <c r="G2" s="128">
        <v>775</v>
      </c>
      <c r="H2" s="128">
        <v>775</v>
      </c>
      <c r="I2" s="210" t="s">
        <v>570</v>
      </c>
      <c r="J2" s="129"/>
    </row>
    <row r="3" spans="1:10" ht="28.5">
      <c r="A3" s="108" t="s">
        <v>764</v>
      </c>
      <c r="B3" s="88" t="s">
        <v>1159</v>
      </c>
      <c r="C3" s="73" t="s">
        <v>1159</v>
      </c>
      <c r="D3" s="73" t="s">
        <v>1159</v>
      </c>
      <c r="E3" s="73" t="s">
        <v>1159</v>
      </c>
      <c r="F3" s="73" t="s">
        <v>1159</v>
      </c>
      <c r="G3" s="73" t="s">
        <v>1159</v>
      </c>
      <c r="H3" s="73" t="s">
        <v>1159</v>
      </c>
      <c r="I3" s="217"/>
      <c r="J3" s="121"/>
    </row>
    <row r="4" spans="1:10">
      <c r="A4" s="108" t="s">
        <v>752</v>
      </c>
      <c r="B4" s="88">
        <v>2E-3</v>
      </c>
      <c r="C4" s="73">
        <v>2E-3</v>
      </c>
      <c r="D4" s="73">
        <v>2E-3</v>
      </c>
      <c r="E4" s="73">
        <v>2E-3</v>
      </c>
      <c r="F4" s="73">
        <v>2E-3</v>
      </c>
      <c r="G4" s="73">
        <v>2E-3</v>
      </c>
      <c r="H4" s="73">
        <v>2E-3</v>
      </c>
      <c r="I4" s="217"/>
      <c r="J4" s="121"/>
    </row>
    <row r="5" spans="1:10">
      <c r="A5" s="108" t="s">
        <v>774</v>
      </c>
      <c r="B5" s="124">
        <v>58</v>
      </c>
      <c r="C5" s="117">
        <v>58</v>
      </c>
      <c r="D5" s="117">
        <v>58</v>
      </c>
      <c r="E5" s="117">
        <v>59</v>
      </c>
      <c r="F5" s="117">
        <v>60</v>
      </c>
      <c r="G5" s="117">
        <v>60</v>
      </c>
      <c r="H5" s="117">
        <v>60</v>
      </c>
      <c r="I5" s="217"/>
      <c r="J5" s="118" t="s">
        <v>1160</v>
      </c>
    </row>
    <row r="6" spans="1:10" ht="28.9" customHeight="1">
      <c r="A6" s="108" t="s">
        <v>1161</v>
      </c>
      <c r="B6" s="88">
        <v>0.12404</v>
      </c>
      <c r="C6" s="73">
        <v>0.12404</v>
      </c>
      <c r="D6" s="73">
        <v>0.12404</v>
      </c>
      <c r="E6" s="73">
        <v>0.121936</v>
      </c>
      <c r="F6" s="73">
        <v>0.11990000000000001</v>
      </c>
      <c r="G6" s="73">
        <v>0.11990000000000001</v>
      </c>
      <c r="H6" s="73">
        <v>0.11990000000000001</v>
      </c>
      <c r="I6" s="217"/>
      <c r="J6" s="118" t="s">
        <v>1162</v>
      </c>
    </row>
    <row r="7" spans="1:10">
      <c r="A7" s="108" t="s">
        <v>607</v>
      </c>
      <c r="B7" s="124">
        <v>100</v>
      </c>
      <c r="C7" s="117">
        <v>100</v>
      </c>
      <c r="D7" s="117">
        <v>100</v>
      </c>
      <c r="E7" s="117">
        <v>100</v>
      </c>
      <c r="F7" s="117">
        <v>100</v>
      </c>
      <c r="G7" s="117">
        <v>100</v>
      </c>
      <c r="H7" s="117">
        <v>100</v>
      </c>
      <c r="I7" s="217" t="s">
        <v>1163</v>
      </c>
      <c r="J7" s="121" t="s">
        <v>1164</v>
      </c>
    </row>
    <row r="8" spans="1:10">
      <c r="A8" s="108" t="s">
        <v>640</v>
      </c>
      <c r="B8" s="124">
        <v>20</v>
      </c>
      <c r="C8" s="117">
        <v>20</v>
      </c>
      <c r="D8" s="117">
        <v>20</v>
      </c>
      <c r="E8" s="117">
        <v>20</v>
      </c>
      <c r="F8" s="117">
        <v>20</v>
      </c>
      <c r="G8" s="117">
        <v>20</v>
      </c>
      <c r="H8" s="117">
        <v>20</v>
      </c>
      <c r="I8" s="217"/>
      <c r="J8" s="121"/>
    </row>
    <row r="9" spans="1:10" ht="13.15" customHeight="1">
      <c r="A9" s="108" t="s">
        <v>1165</v>
      </c>
      <c r="B9" s="124" t="s">
        <v>1166</v>
      </c>
      <c r="C9" s="117" t="s">
        <v>1166</v>
      </c>
      <c r="D9" s="117" t="s">
        <v>1166</v>
      </c>
      <c r="E9" s="117" t="s">
        <v>1166</v>
      </c>
      <c r="F9" s="117" t="s">
        <v>1166</v>
      </c>
      <c r="G9" s="117" t="s">
        <v>1166</v>
      </c>
      <c r="H9" s="117" t="s">
        <v>1166</v>
      </c>
      <c r="I9" s="76" t="s">
        <v>945</v>
      </c>
      <c r="J9" s="121"/>
    </row>
    <row r="10" spans="1:10" ht="16.149999999999999" customHeight="1">
      <c r="A10" s="108" t="s">
        <v>1167</v>
      </c>
      <c r="B10" s="124">
        <v>1.14E-2</v>
      </c>
      <c r="C10" s="117">
        <v>1.14E-2</v>
      </c>
      <c r="D10" s="117">
        <v>1.14E-2</v>
      </c>
      <c r="E10" s="117">
        <v>1.14E-2</v>
      </c>
      <c r="F10" s="117">
        <v>1.14E-2</v>
      </c>
      <c r="G10" s="117">
        <v>1.14E-2</v>
      </c>
      <c r="H10" s="117">
        <v>1.14E-2</v>
      </c>
      <c r="I10" s="76" t="s">
        <v>754</v>
      </c>
      <c r="J10" s="121" t="s">
        <v>936</v>
      </c>
    </row>
    <row r="11" spans="1:10">
      <c r="A11" s="108" t="s">
        <v>611</v>
      </c>
      <c r="B11" s="124">
        <v>35</v>
      </c>
      <c r="C11" s="117">
        <v>35</v>
      </c>
      <c r="D11" s="117">
        <v>35</v>
      </c>
      <c r="E11" s="117">
        <v>35</v>
      </c>
      <c r="F11" s="117">
        <v>35</v>
      </c>
      <c r="G11" s="117">
        <v>35</v>
      </c>
      <c r="H11" s="117">
        <v>35</v>
      </c>
      <c r="I11" s="77"/>
      <c r="J11" s="121"/>
    </row>
    <row r="12" spans="1:10" ht="14.65" thickBot="1">
      <c r="A12" s="120" t="s">
        <v>1168</v>
      </c>
      <c r="B12" s="130" t="s">
        <v>1169</v>
      </c>
      <c r="C12" s="131" t="s">
        <v>1169</v>
      </c>
      <c r="D12" s="131" t="s">
        <v>1169</v>
      </c>
      <c r="E12" s="131" t="s">
        <v>1169</v>
      </c>
      <c r="F12" s="131" t="s">
        <v>1169</v>
      </c>
      <c r="G12" s="131" t="s">
        <v>1169</v>
      </c>
      <c r="H12" s="131" t="s">
        <v>1169</v>
      </c>
      <c r="I12" s="84"/>
      <c r="J12" s="132"/>
    </row>
    <row r="13" spans="1:10" ht="14.65" thickBot="1">
      <c r="A13" s="70"/>
      <c r="B13" s="1"/>
      <c r="C13" s="1"/>
      <c r="D13" s="1"/>
      <c r="E13" s="1"/>
      <c r="F13" s="1"/>
      <c r="G13" s="1"/>
      <c r="H13" s="1"/>
    </row>
    <row r="14" spans="1:10" ht="43.15" thickBot="1">
      <c r="A14" s="115" t="s">
        <v>335</v>
      </c>
      <c r="B14" s="86">
        <v>2020</v>
      </c>
      <c r="C14" s="80">
        <v>2025</v>
      </c>
      <c r="D14" s="80">
        <v>2030</v>
      </c>
      <c r="E14" s="80">
        <v>2035</v>
      </c>
      <c r="F14" s="80">
        <v>2040</v>
      </c>
      <c r="G14" s="80">
        <v>2045</v>
      </c>
      <c r="H14" s="80">
        <v>2050</v>
      </c>
      <c r="I14" s="107" t="s">
        <v>567</v>
      </c>
      <c r="J14" s="82" t="s">
        <v>568</v>
      </c>
    </row>
    <row r="15" spans="1:10">
      <c r="A15" s="119" t="s">
        <v>761</v>
      </c>
      <c r="B15" s="87">
        <v>1365</v>
      </c>
      <c r="C15" s="78">
        <v>1365</v>
      </c>
      <c r="D15" s="78">
        <v>1260</v>
      </c>
      <c r="E15" s="78">
        <v>1260</v>
      </c>
      <c r="F15" s="78">
        <v>1260</v>
      </c>
      <c r="G15" s="78">
        <v>1155</v>
      </c>
      <c r="H15" s="78">
        <v>1155</v>
      </c>
      <c r="I15" s="210" t="s">
        <v>1170</v>
      </c>
      <c r="J15" s="103" t="s">
        <v>1171</v>
      </c>
    </row>
    <row r="16" spans="1:10" ht="28.5">
      <c r="A16" s="108" t="s">
        <v>764</v>
      </c>
      <c r="B16" s="88" t="s">
        <v>1172</v>
      </c>
      <c r="C16" s="73" t="s">
        <v>1172</v>
      </c>
      <c r="D16" s="73" t="s">
        <v>1173</v>
      </c>
      <c r="E16" s="73" t="s">
        <v>1173</v>
      </c>
      <c r="F16" s="73" t="s">
        <v>1173</v>
      </c>
      <c r="G16" s="73" t="s">
        <v>1174</v>
      </c>
      <c r="H16" s="73" t="s">
        <v>1174</v>
      </c>
      <c r="I16" s="217"/>
      <c r="J16" s="121"/>
    </row>
    <row r="17" spans="1:10">
      <c r="A17" s="108" t="s">
        <v>752</v>
      </c>
      <c r="B17" s="88">
        <v>2E-3</v>
      </c>
      <c r="C17" s="73">
        <v>2E-3</v>
      </c>
      <c r="D17" s="73">
        <v>2E-3</v>
      </c>
      <c r="E17" s="73">
        <v>2E-3</v>
      </c>
      <c r="F17" s="73">
        <v>2E-3</v>
      </c>
      <c r="G17" s="73">
        <v>2E-3</v>
      </c>
      <c r="H17" s="73">
        <v>2E-3</v>
      </c>
      <c r="I17" s="217"/>
      <c r="J17" s="121"/>
    </row>
    <row r="18" spans="1:10">
      <c r="A18" s="108" t="s">
        <v>774</v>
      </c>
      <c r="B18" s="124">
        <v>50</v>
      </c>
      <c r="C18" s="117">
        <v>50</v>
      </c>
      <c r="D18" s="117">
        <v>50</v>
      </c>
      <c r="E18" s="117">
        <v>51</v>
      </c>
      <c r="F18" s="117">
        <v>52</v>
      </c>
      <c r="G18" s="117">
        <v>52</v>
      </c>
      <c r="H18" s="117">
        <v>52</v>
      </c>
      <c r="I18" s="217"/>
      <c r="J18" s="118" t="s">
        <v>1160</v>
      </c>
    </row>
    <row r="19" spans="1:10">
      <c r="A19" s="108" t="s">
        <v>1161</v>
      </c>
      <c r="B19" s="88">
        <v>0.14388999999999999</v>
      </c>
      <c r="C19" s="73">
        <v>0.14388999999999999</v>
      </c>
      <c r="D19" s="73">
        <v>0.14388999999999999</v>
      </c>
      <c r="E19" s="73">
        <v>0.14105999999999999</v>
      </c>
      <c r="F19" s="73">
        <v>0.13835</v>
      </c>
      <c r="G19" s="73">
        <v>0.13835</v>
      </c>
      <c r="H19" s="73">
        <v>0.13835</v>
      </c>
      <c r="I19" s="217"/>
      <c r="J19" s="118" t="s">
        <v>1162</v>
      </c>
    </row>
    <row r="20" spans="1:10">
      <c r="A20" s="108" t="s">
        <v>1175</v>
      </c>
      <c r="B20" s="124">
        <v>0.76922999999999997</v>
      </c>
      <c r="C20" s="117">
        <v>0.76922999999999997</v>
      </c>
      <c r="D20" s="117">
        <v>0.76922999999999997</v>
      </c>
      <c r="E20" s="117">
        <v>0.71428599999999998</v>
      </c>
      <c r="F20" s="117">
        <v>0.64516099999999998</v>
      </c>
      <c r="G20" s="117">
        <v>0.64516099999999998</v>
      </c>
      <c r="H20" s="117">
        <v>0.64516099999999998</v>
      </c>
      <c r="I20" s="217"/>
      <c r="J20" s="118"/>
    </row>
    <row r="21" spans="1:10">
      <c r="A21" s="108" t="s">
        <v>607</v>
      </c>
      <c r="B21" s="124">
        <v>100</v>
      </c>
      <c r="C21" s="117">
        <v>100</v>
      </c>
      <c r="D21" s="117">
        <v>100</v>
      </c>
      <c r="E21" s="117">
        <v>100</v>
      </c>
      <c r="F21" s="117">
        <v>100</v>
      </c>
      <c r="G21" s="117">
        <v>100</v>
      </c>
      <c r="H21" s="117">
        <v>100</v>
      </c>
      <c r="I21" s="217"/>
      <c r="J21" s="121"/>
    </row>
    <row r="22" spans="1:10">
      <c r="A22" s="108" t="s">
        <v>640</v>
      </c>
      <c r="B22" s="124">
        <v>40</v>
      </c>
      <c r="C22" s="117">
        <v>40</v>
      </c>
      <c r="D22" s="117">
        <v>40</v>
      </c>
      <c r="E22" s="117">
        <v>40</v>
      </c>
      <c r="F22" s="117">
        <v>40</v>
      </c>
      <c r="G22" s="117">
        <v>40</v>
      </c>
      <c r="H22" s="117">
        <v>40</v>
      </c>
      <c r="I22" s="217"/>
      <c r="J22" s="121"/>
    </row>
    <row r="23" spans="1:10">
      <c r="A23" s="108" t="s">
        <v>1165</v>
      </c>
      <c r="B23" s="124" t="s">
        <v>944</v>
      </c>
      <c r="C23" s="117" t="s">
        <v>944</v>
      </c>
      <c r="D23" s="117" t="s">
        <v>944</v>
      </c>
      <c r="E23" s="117" t="s">
        <v>944</v>
      </c>
      <c r="F23" s="117" t="s">
        <v>944</v>
      </c>
      <c r="G23" s="117" t="s">
        <v>944</v>
      </c>
      <c r="H23" s="117" t="s">
        <v>944</v>
      </c>
      <c r="I23" s="217"/>
      <c r="J23" s="121"/>
    </row>
    <row r="24" spans="1:10" ht="15" customHeight="1">
      <c r="A24" s="108" t="s">
        <v>1167</v>
      </c>
      <c r="B24" s="124">
        <v>1.14E-2</v>
      </c>
      <c r="C24" s="117">
        <v>1.14E-2</v>
      </c>
      <c r="D24" s="117">
        <v>1.14E-2</v>
      </c>
      <c r="E24" s="117">
        <v>1.14E-2</v>
      </c>
      <c r="F24" s="117">
        <v>1.14E-2</v>
      </c>
      <c r="G24" s="117">
        <v>1.14E-2</v>
      </c>
      <c r="H24" s="117">
        <v>1.14E-2</v>
      </c>
      <c r="I24" s="76" t="s">
        <v>754</v>
      </c>
      <c r="J24" s="121" t="s">
        <v>936</v>
      </c>
    </row>
    <row r="25" spans="1:10" ht="15.6" customHeight="1">
      <c r="A25" s="108" t="s">
        <v>611</v>
      </c>
      <c r="B25" s="124">
        <v>25</v>
      </c>
      <c r="C25" s="117">
        <v>25</v>
      </c>
      <c r="D25" s="117">
        <v>25</v>
      </c>
      <c r="E25" s="117">
        <v>25</v>
      </c>
      <c r="F25" s="117">
        <v>25</v>
      </c>
      <c r="G25" s="117">
        <v>25</v>
      </c>
      <c r="H25" s="117">
        <v>25</v>
      </c>
      <c r="I25" s="76" t="s">
        <v>1170</v>
      </c>
      <c r="J25" s="121"/>
    </row>
    <row r="26" spans="1:10" ht="14.65" thickBot="1">
      <c r="A26" s="120" t="s">
        <v>1168</v>
      </c>
      <c r="B26" s="130" t="s">
        <v>1169</v>
      </c>
      <c r="C26" s="131" t="s">
        <v>1169</v>
      </c>
      <c r="D26" s="131" t="s">
        <v>1169</v>
      </c>
      <c r="E26" s="131" t="s">
        <v>1169</v>
      </c>
      <c r="F26" s="131" t="s">
        <v>1169</v>
      </c>
      <c r="G26" s="131" t="s">
        <v>1169</v>
      </c>
      <c r="H26" s="131" t="s">
        <v>1169</v>
      </c>
      <c r="I26" s="84"/>
      <c r="J26" s="132"/>
    </row>
    <row r="27" spans="1:10" ht="14.65" thickBot="1">
      <c r="A27" s="70"/>
      <c r="B27" s="1"/>
      <c r="C27" s="1"/>
      <c r="D27" s="1"/>
      <c r="E27" s="1"/>
      <c r="F27" s="1"/>
      <c r="G27" s="1"/>
      <c r="H27" s="1"/>
    </row>
    <row r="28" spans="1:10" ht="14.65" thickBot="1">
      <c r="A28" s="115" t="s">
        <v>338</v>
      </c>
      <c r="B28" s="86">
        <v>2020</v>
      </c>
      <c r="C28" s="80">
        <v>2025</v>
      </c>
      <c r="D28" s="80">
        <v>2030</v>
      </c>
      <c r="E28" s="80">
        <v>2035</v>
      </c>
      <c r="F28" s="80">
        <v>2040</v>
      </c>
      <c r="G28" s="80">
        <v>2045</v>
      </c>
      <c r="H28" s="80">
        <v>2050</v>
      </c>
      <c r="I28" s="107" t="s">
        <v>567</v>
      </c>
      <c r="J28" s="82" t="s">
        <v>568</v>
      </c>
    </row>
    <row r="29" spans="1:10">
      <c r="A29" s="119" t="s">
        <v>761</v>
      </c>
      <c r="B29" s="127">
        <v>475</v>
      </c>
      <c r="C29" s="128">
        <v>475</v>
      </c>
      <c r="D29" s="128">
        <v>475</v>
      </c>
      <c r="E29" s="128">
        <v>475</v>
      </c>
      <c r="F29" s="128">
        <v>475</v>
      </c>
      <c r="G29" s="128">
        <v>475</v>
      </c>
      <c r="H29" s="128">
        <v>475</v>
      </c>
      <c r="I29" s="210" t="s">
        <v>570</v>
      </c>
      <c r="J29" s="129"/>
    </row>
    <row r="30" spans="1:10" ht="28.5">
      <c r="A30" s="108" t="s">
        <v>764</v>
      </c>
      <c r="B30" s="88" t="s">
        <v>1176</v>
      </c>
      <c r="C30" s="73" t="s">
        <v>1176</v>
      </c>
      <c r="D30" s="73" t="s">
        <v>1176</v>
      </c>
      <c r="E30" s="73" t="s">
        <v>1176</v>
      </c>
      <c r="F30" s="73" t="s">
        <v>1176</v>
      </c>
      <c r="G30" s="73" t="s">
        <v>1176</v>
      </c>
      <c r="H30" s="73" t="s">
        <v>1176</v>
      </c>
      <c r="I30" s="217"/>
      <c r="J30" s="121"/>
    </row>
    <row r="31" spans="1:10">
      <c r="A31" s="108" t="s">
        <v>752</v>
      </c>
      <c r="B31" s="88">
        <v>1.1000000000000001E-3</v>
      </c>
      <c r="C31" s="73">
        <v>1.1000000000000001E-3</v>
      </c>
      <c r="D31" s="73">
        <v>1.1000000000000001E-3</v>
      </c>
      <c r="E31" s="73">
        <v>1.1000000000000001E-3</v>
      </c>
      <c r="F31" s="73">
        <v>1.1000000000000001E-3</v>
      </c>
      <c r="G31" s="73">
        <v>1.1000000000000001E-3</v>
      </c>
      <c r="H31" s="73">
        <v>1.1000000000000001E-3</v>
      </c>
      <c r="I31" s="217"/>
      <c r="J31" s="121"/>
    </row>
    <row r="32" spans="1:10">
      <c r="A32" s="108" t="s">
        <v>774</v>
      </c>
      <c r="B32" s="124">
        <v>40</v>
      </c>
      <c r="C32" s="117">
        <v>41.5</v>
      </c>
      <c r="D32" s="117">
        <v>43</v>
      </c>
      <c r="E32" s="117">
        <v>43.5</v>
      </c>
      <c r="F32" s="117">
        <v>44</v>
      </c>
      <c r="G32" s="117">
        <v>44.5</v>
      </c>
      <c r="H32" s="117">
        <v>45</v>
      </c>
      <c r="I32" s="217"/>
      <c r="J32" s="118" t="s">
        <v>1160</v>
      </c>
    </row>
    <row r="33" spans="1:10">
      <c r="A33" s="108" t="s">
        <v>1161</v>
      </c>
      <c r="B33" s="124">
        <v>0.17985599999999999</v>
      </c>
      <c r="C33" s="117">
        <v>0.17335500000000001</v>
      </c>
      <c r="D33" s="117">
        <v>0.16730800000000001</v>
      </c>
      <c r="E33" s="117">
        <v>0.165385</v>
      </c>
      <c r="F33" s="117">
        <v>0.16350600000000001</v>
      </c>
      <c r="G33" s="117">
        <v>0.16167000000000001</v>
      </c>
      <c r="H33" s="117">
        <v>0.15987199999999999</v>
      </c>
      <c r="I33" s="217"/>
      <c r="J33" s="118" t="s">
        <v>1162</v>
      </c>
    </row>
    <row r="34" spans="1:10">
      <c r="A34" s="108" t="s">
        <v>607</v>
      </c>
      <c r="B34" s="124">
        <v>100</v>
      </c>
      <c r="C34" s="117">
        <v>100</v>
      </c>
      <c r="D34" s="117">
        <v>100</v>
      </c>
      <c r="E34" s="117">
        <v>100</v>
      </c>
      <c r="F34" s="117">
        <v>100</v>
      </c>
      <c r="G34" s="117">
        <v>100</v>
      </c>
      <c r="H34" s="117">
        <v>100</v>
      </c>
      <c r="I34" s="217" t="s">
        <v>1163</v>
      </c>
      <c r="J34" s="121" t="s">
        <v>1164</v>
      </c>
    </row>
    <row r="35" spans="1:10">
      <c r="A35" s="108" t="s">
        <v>640</v>
      </c>
      <c r="B35" s="124">
        <v>20</v>
      </c>
      <c r="C35" s="117">
        <v>20</v>
      </c>
      <c r="D35" s="117">
        <v>20</v>
      </c>
      <c r="E35" s="117">
        <v>20</v>
      </c>
      <c r="F35" s="117">
        <v>20</v>
      </c>
      <c r="G35" s="117">
        <v>20</v>
      </c>
      <c r="H35" s="117">
        <v>20</v>
      </c>
      <c r="I35" s="217"/>
      <c r="J35" s="121"/>
    </row>
    <row r="36" spans="1:10" ht="16.149999999999999" customHeight="1">
      <c r="A36" s="108" t="s">
        <v>1165</v>
      </c>
      <c r="B36" s="124" t="s">
        <v>1177</v>
      </c>
      <c r="C36" s="117" t="s">
        <v>1177</v>
      </c>
      <c r="D36" s="117" t="s">
        <v>1177</v>
      </c>
      <c r="E36" s="117" t="s">
        <v>1177</v>
      </c>
      <c r="F36" s="117" t="s">
        <v>1177</v>
      </c>
      <c r="G36" s="117" t="s">
        <v>1177</v>
      </c>
      <c r="H36" s="117" t="s">
        <v>1177</v>
      </c>
      <c r="I36" s="76" t="s">
        <v>945</v>
      </c>
      <c r="J36" s="121"/>
    </row>
    <row r="37" spans="1:10" ht="14.45" customHeight="1">
      <c r="A37" s="108" t="s">
        <v>1167</v>
      </c>
      <c r="B37" s="124">
        <v>0</v>
      </c>
      <c r="C37" s="117">
        <v>0</v>
      </c>
      <c r="D37" s="117">
        <v>0</v>
      </c>
      <c r="E37" s="117">
        <v>0</v>
      </c>
      <c r="F37" s="117">
        <v>0</v>
      </c>
      <c r="G37" s="117">
        <v>0</v>
      </c>
      <c r="H37" s="117">
        <v>0</v>
      </c>
      <c r="I37" s="76" t="s">
        <v>754</v>
      </c>
      <c r="J37" s="121" t="s">
        <v>936</v>
      </c>
    </row>
    <row r="38" spans="1:10">
      <c r="A38" s="108" t="s">
        <v>611</v>
      </c>
      <c r="B38" s="124">
        <v>35</v>
      </c>
      <c r="C38" s="117">
        <v>35</v>
      </c>
      <c r="D38" s="117">
        <v>35</v>
      </c>
      <c r="E38" s="117">
        <v>35</v>
      </c>
      <c r="F38" s="117">
        <v>35</v>
      </c>
      <c r="G38" s="117">
        <v>35</v>
      </c>
      <c r="H38" s="117">
        <v>35</v>
      </c>
      <c r="I38" s="77"/>
      <c r="J38" s="121"/>
    </row>
    <row r="39" spans="1:10" ht="14.65" thickBot="1">
      <c r="A39" s="120" t="s">
        <v>1168</v>
      </c>
      <c r="B39" s="130" t="s">
        <v>1169</v>
      </c>
      <c r="C39" s="131" t="s">
        <v>1169</v>
      </c>
      <c r="D39" s="131" t="s">
        <v>1169</v>
      </c>
      <c r="E39" s="131" t="s">
        <v>1169</v>
      </c>
      <c r="F39" s="131" t="s">
        <v>1169</v>
      </c>
      <c r="G39" s="131" t="s">
        <v>1169</v>
      </c>
      <c r="H39" s="131" t="s">
        <v>1169</v>
      </c>
      <c r="I39" s="84"/>
      <c r="J39" s="132"/>
    </row>
    <row r="40" spans="1:10" ht="14.65" thickBot="1">
      <c r="A40" s="70"/>
      <c r="B40" s="1"/>
      <c r="C40" s="1"/>
      <c r="D40" s="1"/>
      <c r="E40" s="1"/>
      <c r="F40" s="1"/>
      <c r="G40" s="1"/>
      <c r="H40" s="1"/>
    </row>
    <row r="41" spans="1:10" ht="28.9" thickBot="1">
      <c r="A41" s="115" t="s">
        <v>340</v>
      </c>
      <c r="B41" s="86">
        <v>2020</v>
      </c>
      <c r="C41" s="80">
        <v>2025</v>
      </c>
      <c r="D41" s="80">
        <v>2030</v>
      </c>
      <c r="E41" s="80">
        <v>2035</v>
      </c>
      <c r="F41" s="80">
        <v>2040</v>
      </c>
      <c r="G41" s="80">
        <v>2045</v>
      </c>
      <c r="H41" s="80">
        <v>2050</v>
      </c>
      <c r="I41" s="107" t="s">
        <v>567</v>
      </c>
      <c r="J41" s="82" t="s">
        <v>568</v>
      </c>
    </row>
    <row r="42" spans="1:10">
      <c r="A42" s="119" t="s">
        <v>761</v>
      </c>
      <c r="B42" s="87">
        <v>620</v>
      </c>
      <c r="C42" s="78">
        <v>620</v>
      </c>
      <c r="D42" s="78">
        <v>588</v>
      </c>
      <c r="E42" s="78">
        <v>588</v>
      </c>
      <c r="F42" s="78">
        <v>588</v>
      </c>
      <c r="G42" s="78">
        <v>546</v>
      </c>
      <c r="H42" s="78">
        <v>546</v>
      </c>
      <c r="I42" s="210" t="s">
        <v>1170</v>
      </c>
      <c r="J42" s="103" t="s">
        <v>1171</v>
      </c>
    </row>
    <row r="43" spans="1:10" ht="28.5">
      <c r="A43" s="108" t="s">
        <v>764</v>
      </c>
      <c r="B43" s="88" t="s">
        <v>1178</v>
      </c>
      <c r="C43" s="73" t="s">
        <v>1178</v>
      </c>
      <c r="D43" s="73" t="s">
        <v>1179</v>
      </c>
      <c r="E43" s="73" t="s">
        <v>1179</v>
      </c>
      <c r="F43" s="73" t="s">
        <v>1179</v>
      </c>
      <c r="G43" s="73" t="s">
        <v>1180</v>
      </c>
      <c r="H43" s="73" t="s">
        <v>1180</v>
      </c>
      <c r="I43" s="217"/>
      <c r="J43" s="121"/>
    </row>
    <row r="44" spans="1:10">
      <c r="A44" s="108" t="s">
        <v>752</v>
      </c>
      <c r="B44" s="88">
        <v>2E-3</v>
      </c>
      <c r="C44" s="73">
        <v>2E-3</v>
      </c>
      <c r="D44" s="73">
        <v>2E-3</v>
      </c>
      <c r="E44" s="73">
        <v>2E-3</v>
      </c>
      <c r="F44" s="73">
        <v>2E-3</v>
      </c>
      <c r="G44" s="73">
        <v>2E-3</v>
      </c>
      <c r="H44" s="73">
        <v>2E-3</v>
      </c>
      <c r="I44" s="217"/>
      <c r="J44" s="121"/>
    </row>
    <row r="45" spans="1:10" ht="42.75">
      <c r="A45" s="108" t="s">
        <v>774</v>
      </c>
      <c r="B45" s="88">
        <v>40</v>
      </c>
      <c r="C45" s="73">
        <v>41.5</v>
      </c>
      <c r="D45" s="73">
        <v>43</v>
      </c>
      <c r="E45" s="73">
        <v>43.5</v>
      </c>
      <c r="F45" s="73">
        <v>44</v>
      </c>
      <c r="G45" s="73">
        <v>44.5</v>
      </c>
      <c r="H45" s="73">
        <v>45</v>
      </c>
      <c r="I45" s="217"/>
      <c r="J45" s="118" t="s">
        <v>1181</v>
      </c>
    </row>
    <row r="46" spans="1:10">
      <c r="A46" s="108" t="s">
        <v>1161</v>
      </c>
      <c r="B46" s="124">
        <v>0.17985599999999999</v>
      </c>
      <c r="C46" s="117">
        <v>0.17335500000000001</v>
      </c>
      <c r="D46" s="117">
        <v>0.16730800000000001</v>
      </c>
      <c r="E46" s="117">
        <v>0.165385</v>
      </c>
      <c r="F46" s="117">
        <v>0.16350600000000001</v>
      </c>
      <c r="G46" s="117">
        <v>0.16167000000000001</v>
      </c>
      <c r="H46" s="117">
        <v>0.15987199999999999</v>
      </c>
      <c r="I46" s="217"/>
      <c r="J46" s="118" t="s">
        <v>1162</v>
      </c>
    </row>
    <row r="47" spans="1:10">
      <c r="A47" s="108" t="s">
        <v>1175</v>
      </c>
      <c r="B47" s="124">
        <v>1.05263</v>
      </c>
      <c r="C47" s="117">
        <v>1.0416700000000001</v>
      </c>
      <c r="D47" s="117">
        <v>1.0416700000000001</v>
      </c>
      <c r="E47" s="117">
        <v>1</v>
      </c>
      <c r="F47" s="117">
        <v>1</v>
      </c>
      <c r="G47" s="117">
        <v>1</v>
      </c>
      <c r="H47" s="117">
        <v>1</v>
      </c>
      <c r="I47" s="217"/>
      <c r="J47" s="118"/>
    </row>
    <row r="48" spans="1:10">
      <c r="A48" s="108" t="s">
        <v>607</v>
      </c>
      <c r="B48" s="124">
        <v>100</v>
      </c>
      <c r="C48" s="117">
        <v>100</v>
      </c>
      <c r="D48" s="117">
        <v>100</v>
      </c>
      <c r="E48" s="117">
        <v>100</v>
      </c>
      <c r="F48" s="117">
        <v>100</v>
      </c>
      <c r="G48" s="117">
        <v>100</v>
      </c>
      <c r="H48" s="117">
        <v>100</v>
      </c>
      <c r="I48" s="217"/>
      <c r="J48" s="121"/>
    </row>
    <row r="49" spans="1:10">
      <c r="A49" s="108" t="s">
        <v>640</v>
      </c>
      <c r="B49" s="124">
        <v>25</v>
      </c>
      <c r="C49" s="117">
        <v>25</v>
      </c>
      <c r="D49" s="117">
        <v>25</v>
      </c>
      <c r="E49" s="117">
        <v>25</v>
      </c>
      <c r="F49" s="117">
        <v>25</v>
      </c>
      <c r="G49" s="117">
        <v>25</v>
      </c>
      <c r="H49" s="117">
        <v>25</v>
      </c>
      <c r="I49" s="217"/>
      <c r="J49" s="121"/>
    </row>
    <row r="50" spans="1:10">
      <c r="A50" s="108" t="s">
        <v>1165</v>
      </c>
      <c r="B50" s="124" t="s">
        <v>941</v>
      </c>
      <c r="C50" s="117" t="s">
        <v>941</v>
      </c>
      <c r="D50" s="117" t="s">
        <v>941</v>
      </c>
      <c r="E50" s="117" t="s">
        <v>941</v>
      </c>
      <c r="F50" s="117" t="s">
        <v>941</v>
      </c>
      <c r="G50" s="117" t="s">
        <v>941</v>
      </c>
      <c r="H50" s="117" t="s">
        <v>941</v>
      </c>
      <c r="I50" s="217"/>
      <c r="J50" s="121"/>
    </row>
    <row r="51" spans="1:10" ht="18" customHeight="1">
      <c r="A51" s="108" t="s">
        <v>1167</v>
      </c>
      <c r="B51" s="124">
        <v>1.14E-2</v>
      </c>
      <c r="C51" s="117">
        <v>1.14E-2</v>
      </c>
      <c r="D51" s="117">
        <v>1.14E-2</v>
      </c>
      <c r="E51" s="117">
        <v>1.14E-2</v>
      </c>
      <c r="F51" s="117">
        <v>1.14E-2</v>
      </c>
      <c r="G51" s="117">
        <v>1.14E-2</v>
      </c>
      <c r="H51" s="117">
        <v>1.14E-2</v>
      </c>
      <c r="I51" s="76" t="s">
        <v>754</v>
      </c>
      <c r="J51" s="121" t="s">
        <v>936</v>
      </c>
    </row>
    <row r="52" spans="1:10" ht="15" customHeight="1">
      <c r="A52" s="108" t="s">
        <v>611</v>
      </c>
      <c r="B52" s="124">
        <v>25</v>
      </c>
      <c r="C52" s="117">
        <v>25</v>
      </c>
      <c r="D52" s="117">
        <v>25</v>
      </c>
      <c r="E52" s="117">
        <v>25</v>
      </c>
      <c r="F52" s="117">
        <v>25</v>
      </c>
      <c r="G52" s="117">
        <v>25</v>
      </c>
      <c r="H52" s="117">
        <v>25</v>
      </c>
      <c r="I52" s="76" t="s">
        <v>1170</v>
      </c>
      <c r="J52" s="121"/>
    </row>
    <row r="53" spans="1:10" ht="14.65" thickBot="1">
      <c r="A53" s="120" t="s">
        <v>1168</v>
      </c>
      <c r="B53" s="130" t="s">
        <v>1169</v>
      </c>
      <c r="C53" s="131" t="s">
        <v>1169</v>
      </c>
      <c r="D53" s="131" t="s">
        <v>1169</v>
      </c>
      <c r="E53" s="131" t="s">
        <v>1169</v>
      </c>
      <c r="F53" s="131" t="s">
        <v>1169</v>
      </c>
      <c r="G53" s="131" t="s">
        <v>1169</v>
      </c>
      <c r="H53" s="131" t="s">
        <v>1169</v>
      </c>
      <c r="I53" s="84"/>
      <c r="J53" s="132"/>
    </row>
    <row r="54" spans="1:10" ht="14.65" thickBot="1"/>
    <row r="55" spans="1:10" ht="28.9" thickBot="1">
      <c r="A55" s="115" t="s">
        <v>343</v>
      </c>
      <c r="B55" s="86">
        <v>2020</v>
      </c>
      <c r="C55" s="80">
        <v>2025</v>
      </c>
      <c r="D55" s="80">
        <v>2030</v>
      </c>
      <c r="E55" s="80">
        <v>2035</v>
      </c>
      <c r="F55" s="80">
        <v>2040</v>
      </c>
      <c r="G55" s="80">
        <v>2045</v>
      </c>
      <c r="H55" s="80">
        <v>2050</v>
      </c>
      <c r="I55" s="107" t="s">
        <v>567</v>
      </c>
      <c r="J55" s="82" t="s">
        <v>568</v>
      </c>
    </row>
    <row r="56" spans="1:10">
      <c r="A56" s="119" t="s">
        <v>761</v>
      </c>
      <c r="B56" s="127" t="s">
        <v>651</v>
      </c>
      <c r="C56" s="128" t="s">
        <v>651</v>
      </c>
      <c r="D56" s="128">
        <v>853</v>
      </c>
      <c r="E56" s="128">
        <v>853</v>
      </c>
      <c r="F56" s="128">
        <v>853</v>
      </c>
      <c r="G56" s="128">
        <v>853</v>
      </c>
      <c r="H56" s="128">
        <v>853</v>
      </c>
      <c r="I56" s="210" t="s">
        <v>570</v>
      </c>
      <c r="J56" s="129"/>
    </row>
    <row r="57" spans="1:10" ht="28.5">
      <c r="A57" s="108" t="s">
        <v>764</v>
      </c>
      <c r="B57" s="88" t="s">
        <v>651</v>
      </c>
      <c r="C57" s="73" t="s">
        <v>651</v>
      </c>
      <c r="D57" s="73" t="s">
        <v>1182</v>
      </c>
      <c r="E57" s="73" t="s">
        <v>1182</v>
      </c>
      <c r="F57" s="73" t="s">
        <v>1182</v>
      </c>
      <c r="G57" s="73" t="s">
        <v>1182</v>
      </c>
      <c r="H57" s="73" t="s">
        <v>1182</v>
      </c>
      <c r="I57" s="217"/>
      <c r="J57" s="121"/>
    </row>
    <row r="58" spans="1:10">
      <c r="A58" s="108" t="s">
        <v>752</v>
      </c>
      <c r="B58" s="88" t="s">
        <v>651</v>
      </c>
      <c r="C58" s="73" t="s">
        <v>651</v>
      </c>
      <c r="D58" s="73">
        <v>2E-3</v>
      </c>
      <c r="E58" s="73">
        <v>2E-3</v>
      </c>
      <c r="F58" s="73">
        <v>2E-3</v>
      </c>
      <c r="G58" s="73">
        <v>2E-3</v>
      </c>
      <c r="H58" s="73">
        <v>2E-3</v>
      </c>
      <c r="I58" s="217"/>
      <c r="J58" s="121"/>
    </row>
    <row r="59" spans="1:10">
      <c r="A59" s="108" t="s">
        <v>774</v>
      </c>
      <c r="B59" s="88" t="s">
        <v>651</v>
      </c>
      <c r="C59" s="73" t="s">
        <v>651</v>
      </c>
      <c r="D59" s="117">
        <v>58</v>
      </c>
      <c r="E59" s="117">
        <v>59</v>
      </c>
      <c r="F59" s="117">
        <v>60</v>
      </c>
      <c r="G59" s="117">
        <v>60</v>
      </c>
      <c r="H59" s="117">
        <v>60</v>
      </c>
      <c r="I59" s="217"/>
      <c r="J59" s="118" t="s">
        <v>1183</v>
      </c>
    </row>
    <row r="60" spans="1:10">
      <c r="A60" s="108" t="s">
        <v>1184</v>
      </c>
      <c r="B60" s="88" t="s">
        <v>651</v>
      </c>
      <c r="C60" s="73" t="s">
        <v>651</v>
      </c>
      <c r="D60" s="117">
        <v>5.1725E-2</v>
      </c>
      <c r="E60" s="117">
        <v>5.0849999999999999E-2</v>
      </c>
      <c r="F60" s="117">
        <v>0.05</v>
      </c>
      <c r="G60" s="117">
        <v>0.05</v>
      </c>
      <c r="H60" s="117">
        <v>0.05</v>
      </c>
      <c r="I60" s="217"/>
      <c r="J60" s="118" t="s">
        <v>1185</v>
      </c>
    </row>
    <row r="61" spans="1:10">
      <c r="A61" s="108" t="s">
        <v>607</v>
      </c>
      <c r="B61" s="88" t="s">
        <v>651</v>
      </c>
      <c r="C61" s="73" t="s">
        <v>651</v>
      </c>
      <c r="D61" s="117">
        <v>100</v>
      </c>
      <c r="E61" s="117">
        <v>100</v>
      </c>
      <c r="F61" s="117">
        <v>100</v>
      </c>
      <c r="G61" s="117">
        <v>100</v>
      </c>
      <c r="H61" s="117">
        <v>100</v>
      </c>
      <c r="I61" s="217" t="s">
        <v>1163</v>
      </c>
      <c r="J61" s="121" t="s">
        <v>1164</v>
      </c>
    </row>
    <row r="62" spans="1:10">
      <c r="A62" s="108" t="s">
        <v>640</v>
      </c>
      <c r="B62" s="88" t="s">
        <v>651</v>
      </c>
      <c r="C62" s="73" t="s">
        <v>651</v>
      </c>
      <c r="D62" s="117">
        <v>20</v>
      </c>
      <c r="E62" s="117">
        <v>20</v>
      </c>
      <c r="F62" s="117">
        <v>20</v>
      </c>
      <c r="G62" s="117">
        <v>20</v>
      </c>
      <c r="H62" s="117">
        <v>20</v>
      </c>
      <c r="I62" s="217"/>
      <c r="J62" s="121"/>
    </row>
    <row r="63" spans="1:10" ht="19.149999999999999" customHeight="1">
      <c r="A63" s="108" t="s">
        <v>1165</v>
      </c>
      <c r="B63" s="88" t="s">
        <v>651</v>
      </c>
      <c r="C63" s="73" t="s">
        <v>651</v>
      </c>
      <c r="D63" s="117" t="s">
        <v>1186</v>
      </c>
      <c r="E63" s="117" t="s">
        <v>1186</v>
      </c>
      <c r="F63" s="117" t="s">
        <v>1186</v>
      </c>
      <c r="G63" s="117" t="s">
        <v>1186</v>
      </c>
      <c r="H63" s="117" t="s">
        <v>1186</v>
      </c>
      <c r="I63" s="76" t="s">
        <v>945</v>
      </c>
      <c r="J63" s="126" t="s">
        <v>1187</v>
      </c>
    </row>
    <row r="64" spans="1:10" ht="16.899999999999999" customHeight="1">
      <c r="A64" s="108" t="s">
        <v>1167</v>
      </c>
      <c r="B64" s="88" t="s">
        <v>651</v>
      </c>
      <c r="C64" s="73" t="s">
        <v>651</v>
      </c>
      <c r="D64" s="117">
        <v>1.14E-2</v>
      </c>
      <c r="E64" s="117">
        <v>1.14E-2</v>
      </c>
      <c r="F64" s="117">
        <v>1.14E-2</v>
      </c>
      <c r="G64" s="117">
        <v>1.14E-2</v>
      </c>
      <c r="H64" s="117">
        <v>1.14E-2</v>
      </c>
      <c r="I64" s="76" t="s">
        <v>754</v>
      </c>
      <c r="J64" s="121" t="s">
        <v>936</v>
      </c>
    </row>
    <row r="65" spans="1:10">
      <c r="A65" s="108" t="s">
        <v>611</v>
      </c>
      <c r="B65" s="88" t="s">
        <v>651</v>
      </c>
      <c r="C65" s="73" t="s">
        <v>651</v>
      </c>
      <c r="D65" s="117">
        <v>35</v>
      </c>
      <c r="E65" s="117">
        <v>35</v>
      </c>
      <c r="F65" s="117">
        <v>35</v>
      </c>
      <c r="G65" s="117">
        <v>35</v>
      </c>
      <c r="H65" s="117">
        <v>35</v>
      </c>
      <c r="I65" s="77"/>
      <c r="J65" s="121"/>
    </row>
    <row r="66" spans="1:10" ht="14.65" thickBot="1">
      <c r="A66" s="120" t="s">
        <v>1168</v>
      </c>
      <c r="B66" s="130" t="s">
        <v>651</v>
      </c>
      <c r="C66" s="131" t="s">
        <v>651</v>
      </c>
      <c r="D66" s="131" t="s">
        <v>1169</v>
      </c>
      <c r="E66" s="131" t="s">
        <v>1169</v>
      </c>
      <c r="F66" s="131" t="s">
        <v>1169</v>
      </c>
      <c r="G66" s="131" t="s">
        <v>1169</v>
      </c>
      <c r="H66" s="131" t="s">
        <v>1169</v>
      </c>
      <c r="I66" s="84"/>
      <c r="J66" s="132"/>
    </row>
    <row r="67" spans="1:10" ht="14.65" thickBot="1">
      <c r="A67" s="70"/>
      <c r="B67" s="1"/>
      <c r="C67" s="1"/>
      <c r="D67" s="1"/>
      <c r="E67" s="1"/>
      <c r="F67" s="1"/>
      <c r="G67" s="1"/>
      <c r="H67" s="1"/>
    </row>
    <row r="68" spans="1:10" ht="43.15" thickBot="1">
      <c r="A68" s="115" t="s">
        <v>345</v>
      </c>
      <c r="B68" s="86">
        <v>2020</v>
      </c>
      <c r="C68" s="80">
        <v>2025</v>
      </c>
      <c r="D68" s="80">
        <v>2030</v>
      </c>
      <c r="E68" s="80">
        <v>2035</v>
      </c>
      <c r="F68" s="80">
        <v>2040</v>
      </c>
      <c r="G68" s="80">
        <v>2045</v>
      </c>
      <c r="H68" s="80">
        <v>2050</v>
      </c>
      <c r="I68" s="107" t="s">
        <v>567</v>
      </c>
      <c r="J68" s="82" t="s">
        <v>568</v>
      </c>
    </row>
    <row r="69" spans="1:10" ht="28.5">
      <c r="A69" s="119" t="s">
        <v>761</v>
      </c>
      <c r="B69" s="127" t="s">
        <v>651</v>
      </c>
      <c r="C69" s="128" t="s">
        <v>651</v>
      </c>
      <c r="D69" s="78">
        <v>1386</v>
      </c>
      <c r="E69" s="78">
        <v>1386</v>
      </c>
      <c r="F69" s="78">
        <v>1386</v>
      </c>
      <c r="G69" s="78">
        <v>1270.5</v>
      </c>
      <c r="H69" s="78">
        <v>1270.5</v>
      </c>
      <c r="I69" s="210" t="s">
        <v>1170</v>
      </c>
      <c r="J69" s="103" t="s">
        <v>1188</v>
      </c>
    </row>
    <row r="70" spans="1:10" ht="28.5">
      <c r="A70" s="108" t="s">
        <v>764</v>
      </c>
      <c r="B70" s="88" t="s">
        <v>651</v>
      </c>
      <c r="C70" s="73" t="s">
        <v>651</v>
      </c>
      <c r="D70" s="73" t="s">
        <v>1189</v>
      </c>
      <c r="E70" s="73" t="s">
        <v>1189</v>
      </c>
      <c r="F70" s="73" t="s">
        <v>1189</v>
      </c>
      <c r="G70" s="73" t="s">
        <v>1190</v>
      </c>
      <c r="H70" s="73" t="s">
        <v>1190</v>
      </c>
      <c r="I70" s="217"/>
      <c r="J70" s="121"/>
    </row>
    <row r="71" spans="1:10">
      <c r="A71" s="108" t="s">
        <v>752</v>
      </c>
      <c r="B71" s="88" t="s">
        <v>651</v>
      </c>
      <c r="C71" s="73" t="s">
        <v>651</v>
      </c>
      <c r="D71" s="73">
        <v>2E-3</v>
      </c>
      <c r="E71" s="73">
        <v>2E-3</v>
      </c>
      <c r="F71" s="73">
        <v>2E-3</v>
      </c>
      <c r="G71" s="73">
        <v>2E-3</v>
      </c>
      <c r="H71" s="73">
        <v>2E-3</v>
      </c>
      <c r="I71" s="217"/>
      <c r="J71" s="121"/>
    </row>
    <row r="72" spans="1:10">
      <c r="A72" s="108" t="s">
        <v>774</v>
      </c>
      <c r="B72" s="88" t="s">
        <v>651</v>
      </c>
      <c r="C72" s="73" t="s">
        <v>651</v>
      </c>
      <c r="D72" s="117">
        <v>50</v>
      </c>
      <c r="E72" s="117">
        <v>51</v>
      </c>
      <c r="F72" s="117">
        <v>52</v>
      </c>
      <c r="G72" s="117">
        <v>52</v>
      </c>
      <c r="H72" s="117">
        <v>52</v>
      </c>
      <c r="I72" s="217"/>
      <c r="J72" s="118" t="s">
        <v>1183</v>
      </c>
    </row>
    <row r="73" spans="1:10">
      <c r="A73" s="108" t="s">
        <v>1184</v>
      </c>
      <c r="B73" s="88" t="s">
        <v>651</v>
      </c>
      <c r="C73" s="73" t="s">
        <v>651</v>
      </c>
      <c r="D73" s="117">
        <v>0.06</v>
      </c>
      <c r="E73" s="117">
        <v>5.8824000000000001E-2</v>
      </c>
      <c r="F73" s="117">
        <v>5.7700000000000001E-2</v>
      </c>
      <c r="G73" s="117">
        <v>5.7700000000000001E-2</v>
      </c>
      <c r="H73" s="117">
        <v>5.7700000000000001E-2</v>
      </c>
      <c r="I73" s="217"/>
      <c r="J73" s="118" t="s">
        <v>1185</v>
      </c>
    </row>
    <row r="74" spans="1:10">
      <c r="A74" s="108" t="s">
        <v>1175</v>
      </c>
      <c r="B74" s="88" t="s">
        <v>651</v>
      </c>
      <c r="C74" s="73" t="s">
        <v>651</v>
      </c>
      <c r="D74" s="117">
        <v>0.76922999999999997</v>
      </c>
      <c r="E74" s="117">
        <v>0.71428599999999998</v>
      </c>
      <c r="F74" s="117">
        <v>0.64516099999999998</v>
      </c>
      <c r="G74" s="117">
        <v>0.64516099999999998</v>
      </c>
      <c r="H74" s="117">
        <v>0.64516099999999998</v>
      </c>
      <c r="I74" s="217"/>
      <c r="J74" s="118"/>
    </row>
    <row r="75" spans="1:10">
      <c r="A75" s="108" t="s">
        <v>607</v>
      </c>
      <c r="B75" s="88" t="s">
        <v>651</v>
      </c>
      <c r="C75" s="73" t="s">
        <v>651</v>
      </c>
      <c r="D75" s="117">
        <v>100</v>
      </c>
      <c r="E75" s="117">
        <v>100</v>
      </c>
      <c r="F75" s="117">
        <v>100</v>
      </c>
      <c r="G75" s="117">
        <v>100</v>
      </c>
      <c r="H75" s="117">
        <v>100</v>
      </c>
      <c r="I75" s="217"/>
      <c r="J75" s="121"/>
    </row>
    <row r="76" spans="1:10">
      <c r="A76" s="108" t="s">
        <v>640</v>
      </c>
      <c r="B76" s="88" t="s">
        <v>651</v>
      </c>
      <c r="C76" s="73" t="s">
        <v>651</v>
      </c>
      <c r="D76" s="117">
        <v>40</v>
      </c>
      <c r="E76" s="117">
        <v>40</v>
      </c>
      <c r="F76" s="117">
        <v>40</v>
      </c>
      <c r="G76" s="117">
        <v>40</v>
      </c>
      <c r="H76" s="117">
        <v>40</v>
      </c>
      <c r="I76" s="217"/>
      <c r="J76" s="121"/>
    </row>
    <row r="77" spans="1:10">
      <c r="A77" s="108" t="s">
        <v>1165</v>
      </c>
      <c r="B77" s="88" t="s">
        <v>651</v>
      </c>
      <c r="C77" s="73" t="s">
        <v>651</v>
      </c>
      <c r="D77" s="117" t="s">
        <v>944</v>
      </c>
      <c r="E77" s="117" t="s">
        <v>944</v>
      </c>
      <c r="F77" s="117" t="s">
        <v>944</v>
      </c>
      <c r="G77" s="117" t="s">
        <v>944</v>
      </c>
      <c r="H77" s="117" t="s">
        <v>944</v>
      </c>
      <c r="I77" s="217"/>
      <c r="J77" s="121"/>
    </row>
    <row r="78" spans="1:10" ht="17.45" customHeight="1">
      <c r="A78" s="108" t="s">
        <v>1167</v>
      </c>
      <c r="B78" s="88" t="s">
        <v>651</v>
      </c>
      <c r="C78" s="73" t="s">
        <v>651</v>
      </c>
      <c r="D78" s="117">
        <v>1.14E-2</v>
      </c>
      <c r="E78" s="117">
        <v>1.14E-2</v>
      </c>
      <c r="F78" s="117">
        <v>1.14E-2</v>
      </c>
      <c r="G78" s="117">
        <v>1.14E-2</v>
      </c>
      <c r="H78" s="117">
        <v>1.14E-2</v>
      </c>
      <c r="I78" s="76" t="s">
        <v>754</v>
      </c>
      <c r="J78" s="121" t="s">
        <v>936</v>
      </c>
    </row>
    <row r="79" spans="1:10" ht="16.149999999999999" customHeight="1">
      <c r="A79" s="108" t="s">
        <v>611</v>
      </c>
      <c r="B79" s="124" t="s">
        <v>651</v>
      </c>
      <c r="C79" s="117" t="s">
        <v>651</v>
      </c>
      <c r="D79" s="117">
        <v>25</v>
      </c>
      <c r="E79" s="117">
        <v>25</v>
      </c>
      <c r="F79" s="117">
        <v>25</v>
      </c>
      <c r="G79" s="117">
        <v>25</v>
      </c>
      <c r="H79" s="117">
        <v>25</v>
      </c>
      <c r="I79" s="76" t="s">
        <v>1170</v>
      </c>
      <c r="J79" s="121"/>
    </row>
    <row r="80" spans="1:10" ht="14.65" thickBot="1">
      <c r="A80" s="120" t="s">
        <v>1168</v>
      </c>
      <c r="B80" s="130" t="s">
        <v>651</v>
      </c>
      <c r="C80" s="131" t="s">
        <v>651</v>
      </c>
      <c r="D80" s="131" t="s">
        <v>1169</v>
      </c>
      <c r="E80" s="131" t="s">
        <v>1169</v>
      </c>
      <c r="F80" s="131" t="s">
        <v>1169</v>
      </c>
      <c r="G80" s="131" t="s">
        <v>1169</v>
      </c>
      <c r="H80" s="131" t="s">
        <v>1169</v>
      </c>
      <c r="I80" s="84"/>
      <c r="J80" s="132"/>
    </row>
    <row r="81" spans="1:10" ht="14.65" thickBot="1"/>
    <row r="82" spans="1:10" ht="28.9" thickBot="1">
      <c r="A82" s="115" t="s">
        <v>347</v>
      </c>
      <c r="B82" s="86">
        <v>2020</v>
      </c>
      <c r="C82" s="80">
        <v>2025</v>
      </c>
      <c r="D82" s="80">
        <v>2030</v>
      </c>
      <c r="E82" s="80">
        <v>2035</v>
      </c>
      <c r="F82" s="80">
        <v>2040</v>
      </c>
      <c r="G82" s="80">
        <v>2045</v>
      </c>
      <c r="H82" s="80">
        <v>2050</v>
      </c>
      <c r="I82" s="107" t="s">
        <v>567</v>
      </c>
      <c r="J82" s="82" t="s">
        <v>568</v>
      </c>
    </row>
    <row r="83" spans="1:10">
      <c r="A83" s="119" t="s">
        <v>761</v>
      </c>
      <c r="B83" s="127" t="s">
        <v>651</v>
      </c>
      <c r="C83" s="128" t="s">
        <v>651</v>
      </c>
      <c r="D83" s="128">
        <v>523</v>
      </c>
      <c r="E83" s="128">
        <v>523</v>
      </c>
      <c r="F83" s="128">
        <v>523</v>
      </c>
      <c r="G83" s="128">
        <v>523</v>
      </c>
      <c r="H83" s="128">
        <v>523</v>
      </c>
      <c r="I83" s="210" t="s">
        <v>570</v>
      </c>
      <c r="J83" s="129"/>
    </row>
    <row r="84" spans="1:10" ht="28.5">
      <c r="A84" s="108" t="s">
        <v>764</v>
      </c>
      <c r="B84" s="88" t="s">
        <v>651</v>
      </c>
      <c r="C84" s="73" t="s">
        <v>651</v>
      </c>
      <c r="D84" s="73" t="s">
        <v>1191</v>
      </c>
      <c r="E84" s="73" t="s">
        <v>1191</v>
      </c>
      <c r="F84" s="73" t="s">
        <v>1191</v>
      </c>
      <c r="G84" s="73" t="s">
        <v>1191</v>
      </c>
      <c r="H84" s="73" t="s">
        <v>1191</v>
      </c>
      <c r="I84" s="217"/>
      <c r="J84" s="121"/>
    </row>
    <row r="85" spans="1:10">
      <c r="A85" s="108" t="s">
        <v>752</v>
      </c>
      <c r="B85" s="88" t="s">
        <v>651</v>
      </c>
      <c r="C85" s="73" t="s">
        <v>651</v>
      </c>
      <c r="D85" s="73">
        <v>1.0999999999999999E-2</v>
      </c>
      <c r="E85" s="73">
        <v>1.0999999999999999E-2</v>
      </c>
      <c r="F85" s="73">
        <v>1.0999999999999999E-2</v>
      </c>
      <c r="G85" s="73">
        <v>1.0999999999999999E-2</v>
      </c>
      <c r="H85" s="73">
        <v>1.0999999999999999E-2</v>
      </c>
      <c r="I85" s="217"/>
      <c r="J85" s="121"/>
    </row>
    <row r="86" spans="1:10">
      <c r="A86" s="108" t="s">
        <v>774</v>
      </c>
      <c r="B86" s="88" t="s">
        <v>651</v>
      </c>
      <c r="C86" s="73" t="s">
        <v>651</v>
      </c>
      <c r="D86" s="117">
        <v>43</v>
      </c>
      <c r="E86" s="117">
        <v>43.5</v>
      </c>
      <c r="F86" s="117">
        <v>44</v>
      </c>
      <c r="G86" s="117">
        <v>44.5</v>
      </c>
      <c r="H86" s="117">
        <v>45</v>
      </c>
      <c r="I86" s="217"/>
      <c r="J86" s="118" t="s">
        <v>1183</v>
      </c>
    </row>
    <row r="87" spans="1:10">
      <c r="A87" s="108" t="s">
        <v>1184</v>
      </c>
      <c r="B87" s="88" t="s">
        <v>651</v>
      </c>
      <c r="C87" s="73" t="s">
        <v>651</v>
      </c>
      <c r="D87" s="117">
        <v>6.9769999999999999E-2</v>
      </c>
      <c r="E87" s="117">
        <v>6.8966E-2</v>
      </c>
      <c r="F87" s="117">
        <v>6.8182999999999994E-2</v>
      </c>
      <c r="G87" s="117">
        <v>6.7416000000000004E-2</v>
      </c>
      <c r="H87" s="117">
        <v>6.6669999999999993E-2</v>
      </c>
      <c r="I87" s="217"/>
      <c r="J87" s="118" t="s">
        <v>1185</v>
      </c>
    </row>
    <row r="88" spans="1:10">
      <c r="A88" s="108" t="s">
        <v>607</v>
      </c>
      <c r="B88" s="88" t="s">
        <v>651</v>
      </c>
      <c r="C88" s="73" t="s">
        <v>651</v>
      </c>
      <c r="D88" s="117">
        <v>100</v>
      </c>
      <c r="E88" s="117">
        <v>100</v>
      </c>
      <c r="F88" s="117">
        <v>100</v>
      </c>
      <c r="G88" s="117">
        <v>100</v>
      </c>
      <c r="H88" s="117">
        <v>100</v>
      </c>
      <c r="I88" s="217" t="s">
        <v>1163</v>
      </c>
      <c r="J88" s="121" t="s">
        <v>1164</v>
      </c>
    </row>
    <row r="89" spans="1:10">
      <c r="A89" s="108" t="s">
        <v>640</v>
      </c>
      <c r="B89" s="88" t="s">
        <v>651</v>
      </c>
      <c r="C89" s="73" t="s">
        <v>651</v>
      </c>
      <c r="D89" s="117">
        <v>20</v>
      </c>
      <c r="E89" s="117">
        <v>20</v>
      </c>
      <c r="F89" s="117">
        <v>20</v>
      </c>
      <c r="G89" s="117">
        <v>20</v>
      </c>
      <c r="H89" s="117">
        <v>20</v>
      </c>
      <c r="I89" s="217"/>
      <c r="J89" s="121"/>
    </row>
    <row r="90" spans="1:10" ht="15" customHeight="1">
      <c r="A90" s="108" t="s">
        <v>1165</v>
      </c>
      <c r="B90" s="88" t="s">
        <v>651</v>
      </c>
      <c r="C90" s="73" t="s">
        <v>651</v>
      </c>
      <c r="D90" s="117" t="s">
        <v>1192</v>
      </c>
      <c r="E90" s="117" t="s">
        <v>1192</v>
      </c>
      <c r="F90" s="117" t="s">
        <v>1192</v>
      </c>
      <c r="G90" s="117" t="s">
        <v>1192</v>
      </c>
      <c r="H90" s="117" t="s">
        <v>1192</v>
      </c>
      <c r="I90" s="76" t="s">
        <v>945</v>
      </c>
      <c r="J90" s="126" t="s">
        <v>1187</v>
      </c>
    </row>
    <row r="91" spans="1:10" ht="18.600000000000001" customHeight="1">
      <c r="A91" s="108" t="s">
        <v>1167</v>
      </c>
      <c r="B91" s="88" t="s">
        <v>651</v>
      </c>
      <c r="C91" s="73" t="s">
        <v>651</v>
      </c>
      <c r="D91" s="117">
        <v>0</v>
      </c>
      <c r="E91" s="117">
        <v>0</v>
      </c>
      <c r="F91" s="117">
        <v>0</v>
      </c>
      <c r="G91" s="117">
        <v>0</v>
      </c>
      <c r="H91" s="117">
        <v>0</v>
      </c>
      <c r="I91" s="76" t="s">
        <v>754</v>
      </c>
      <c r="J91" s="121" t="s">
        <v>936</v>
      </c>
    </row>
    <row r="92" spans="1:10">
      <c r="A92" s="108" t="s">
        <v>611</v>
      </c>
      <c r="B92" s="88" t="s">
        <v>651</v>
      </c>
      <c r="C92" s="73" t="s">
        <v>651</v>
      </c>
      <c r="D92" s="117">
        <v>35</v>
      </c>
      <c r="E92" s="117">
        <v>35</v>
      </c>
      <c r="F92" s="117">
        <v>35</v>
      </c>
      <c r="G92" s="117">
        <v>35</v>
      </c>
      <c r="H92" s="117">
        <v>35</v>
      </c>
      <c r="I92" s="77"/>
      <c r="J92" s="121"/>
    </row>
    <row r="93" spans="1:10" ht="14.65" thickBot="1">
      <c r="A93" s="120" t="s">
        <v>1168</v>
      </c>
      <c r="B93" s="130" t="s">
        <v>651</v>
      </c>
      <c r="C93" s="131" t="s">
        <v>651</v>
      </c>
      <c r="D93" s="131" t="s">
        <v>1169</v>
      </c>
      <c r="E93" s="131" t="s">
        <v>1169</v>
      </c>
      <c r="F93" s="131" t="s">
        <v>1169</v>
      </c>
      <c r="G93" s="131" t="s">
        <v>1169</v>
      </c>
      <c r="H93" s="131" t="s">
        <v>1169</v>
      </c>
      <c r="I93" s="84"/>
      <c r="J93" s="132"/>
    </row>
    <row r="94" spans="1:10" ht="14.65" thickBot="1">
      <c r="A94" s="70"/>
      <c r="B94" s="1"/>
      <c r="C94" s="1"/>
      <c r="D94" s="1"/>
      <c r="E94" s="1"/>
      <c r="F94" s="1"/>
      <c r="G94" s="1"/>
      <c r="H94" s="1"/>
    </row>
    <row r="95" spans="1:10" ht="43.15" thickBot="1">
      <c r="A95" s="115" t="s">
        <v>349</v>
      </c>
      <c r="B95" s="86">
        <v>2020</v>
      </c>
      <c r="C95" s="80">
        <v>2025</v>
      </c>
      <c r="D95" s="80">
        <v>2030</v>
      </c>
      <c r="E95" s="80">
        <v>2035</v>
      </c>
      <c r="F95" s="80">
        <v>2040</v>
      </c>
      <c r="G95" s="80">
        <v>2045</v>
      </c>
      <c r="H95" s="80">
        <v>2050</v>
      </c>
      <c r="I95" s="107" t="s">
        <v>567</v>
      </c>
      <c r="J95" s="82" t="s">
        <v>568</v>
      </c>
    </row>
    <row r="96" spans="1:10" ht="28.5">
      <c r="A96" s="119" t="s">
        <v>761</v>
      </c>
      <c r="B96" s="127" t="s">
        <v>651</v>
      </c>
      <c r="C96" s="128" t="s">
        <v>651</v>
      </c>
      <c r="D96" s="128">
        <v>647</v>
      </c>
      <c r="E96" s="128">
        <v>647</v>
      </c>
      <c r="F96" s="128">
        <v>647</v>
      </c>
      <c r="G96" s="128">
        <v>600.6</v>
      </c>
      <c r="H96" s="128">
        <v>600.6</v>
      </c>
      <c r="I96" s="210" t="s">
        <v>1170</v>
      </c>
      <c r="J96" s="103" t="s">
        <v>1188</v>
      </c>
    </row>
    <row r="97" spans="1:10" ht="28.5">
      <c r="A97" s="108" t="s">
        <v>764</v>
      </c>
      <c r="B97" s="88" t="s">
        <v>651</v>
      </c>
      <c r="C97" s="73" t="s">
        <v>651</v>
      </c>
      <c r="D97" s="73" t="s">
        <v>1193</v>
      </c>
      <c r="E97" s="73" t="s">
        <v>1193</v>
      </c>
      <c r="F97" s="73" t="s">
        <v>1193</v>
      </c>
      <c r="G97" s="73" t="s">
        <v>1194</v>
      </c>
      <c r="H97" s="73" t="s">
        <v>1194</v>
      </c>
      <c r="I97" s="217"/>
      <c r="J97" s="121"/>
    </row>
    <row r="98" spans="1:10">
      <c r="A98" s="108" t="s">
        <v>752</v>
      </c>
      <c r="B98" s="88" t="s">
        <v>651</v>
      </c>
      <c r="C98" s="73" t="s">
        <v>651</v>
      </c>
      <c r="D98" s="73">
        <v>2E-3</v>
      </c>
      <c r="E98" s="73">
        <v>2E-3</v>
      </c>
      <c r="F98" s="73">
        <v>2E-3</v>
      </c>
      <c r="G98" s="73">
        <v>2E-3</v>
      </c>
      <c r="H98" s="73">
        <v>2E-3</v>
      </c>
      <c r="I98" s="217"/>
      <c r="J98" s="121"/>
    </row>
    <row r="99" spans="1:10" ht="42.75">
      <c r="A99" s="108" t="s">
        <v>774</v>
      </c>
      <c r="B99" s="88" t="s">
        <v>651</v>
      </c>
      <c r="C99" s="73" t="s">
        <v>651</v>
      </c>
      <c r="D99" s="73">
        <v>43</v>
      </c>
      <c r="E99" s="73">
        <v>43.5</v>
      </c>
      <c r="F99" s="73">
        <v>44</v>
      </c>
      <c r="G99" s="73">
        <v>44.5</v>
      </c>
      <c r="H99" s="73">
        <v>45</v>
      </c>
      <c r="I99" s="217"/>
      <c r="J99" s="118" t="s">
        <v>1195</v>
      </c>
    </row>
    <row r="100" spans="1:10">
      <c r="A100" s="108" t="s">
        <v>1184</v>
      </c>
      <c r="B100" s="88" t="s">
        <v>651</v>
      </c>
      <c r="C100" s="73" t="s">
        <v>651</v>
      </c>
      <c r="D100" s="117">
        <v>6.9769999999999999E-2</v>
      </c>
      <c r="E100" s="117">
        <v>6.8966E-2</v>
      </c>
      <c r="F100" s="117">
        <v>6.8182999999999994E-2</v>
      </c>
      <c r="G100" s="117">
        <v>6.7416000000000004E-2</v>
      </c>
      <c r="H100" s="117">
        <v>6.6669999999999993E-2</v>
      </c>
      <c r="I100" s="217"/>
      <c r="J100" s="118" t="s">
        <v>1185</v>
      </c>
    </row>
    <row r="101" spans="1:10">
      <c r="A101" s="108" t="s">
        <v>1175</v>
      </c>
      <c r="B101" s="88" t="s">
        <v>651</v>
      </c>
      <c r="C101" s="73" t="s">
        <v>651</v>
      </c>
      <c r="D101" s="117">
        <v>1.0416700000000001</v>
      </c>
      <c r="E101" s="117">
        <v>1</v>
      </c>
      <c r="F101" s="117">
        <v>1</v>
      </c>
      <c r="G101" s="117">
        <v>1</v>
      </c>
      <c r="H101" s="117">
        <v>1</v>
      </c>
      <c r="I101" s="217"/>
      <c r="J101" s="118"/>
    </row>
    <row r="102" spans="1:10">
      <c r="A102" s="108" t="s">
        <v>607</v>
      </c>
      <c r="B102" s="88" t="s">
        <v>651</v>
      </c>
      <c r="C102" s="73" t="s">
        <v>651</v>
      </c>
      <c r="D102" s="117">
        <v>100</v>
      </c>
      <c r="E102" s="117">
        <v>100</v>
      </c>
      <c r="F102" s="117">
        <v>100</v>
      </c>
      <c r="G102" s="117">
        <v>100</v>
      </c>
      <c r="H102" s="117">
        <v>100</v>
      </c>
      <c r="I102" s="217"/>
      <c r="J102" s="121"/>
    </row>
    <row r="103" spans="1:10">
      <c r="A103" s="108" t="s">
        <v>640</v>
      </c>
      <c r="B103" s="88" t="s">
        <v>651</v>
      </c>
      <c r="C103" s="73" t="s">
        <v>651</v>
      </c>
      <c r="D103" s="117">
        <v>25</v>
      </c>
      <c r="E103" s="117">
        <v>25</v>
      </c>
      <c r="F103" s="117">
        <v>25</v>
      </c>
      <c r="G103" s="117">
        <v>25</v>
      </c>
      <c r="H103" s="117">
        <v>25</v>
      </c>
      <c r="I103" s="217"/>
      <c r="J103" s="121"/>
    </row>
    <row r="104" spans="1:10">
      <c r="A104" s="108" t="s">
        <v>1165</v>
      </c>
      <c r="B104" s="88" t="s">
        <v>651</v>
      </c>
      <c r="C104" s="73" t="s">
        <v>651</v>
      </c>
      <c r="D104" s="117" t="s">
        <v>941</v>
      </c>
      <c r="E104" s="117" t="s">
        <v>941</v>
      </c>
      <c r="F104" s="117" t="s">
        <v>941</v>
      </c>
      <c r="G104" s="117" t="s">
        <v>941</v>
      </c>
      <c r="H104" s="117" t="s">
        <v>941</v>
      </c>
      <c r="I104" s="217"/>
      <c r="J104" s="121"/>
    </row>
    <row r="105" spans="1:10" ht="17.45" customHeight="1">
      <c r="A105" s="108" t="s">
        <v>1167</v>
      </c>
      <c r="B105" s="88" t="s">
        <v>651</v>
      </c>
      <c r="C105" s="73" t="s">
        <v>651</v>
      </c>
      <c r="D105" s="117">
        <v>1.14E-2</v>
      </c>
      <c r="E105" s="117">
        <v>1.14E-2</v>
      </c>
      <c r="F105" s="117">
        <v>1.14E-2</v>
      </c>
      <c r="G105" s="117">
        <v>1.14E-2</v>
      </c>
      <c r="H105" s="117">
        <v>1.14E-2</v>
      </c>
      <c r="I105" s="76" t="s">
        <v>754</v>
      </c>
      <c r="J105" s="121" t="s">
        <v>936</v>
      </c>
    </row>
    <row r="106" spans="1:10" ht="15" customHeight="1">
      <c r="A106" s="108" t="s">
        <v>611</v>
      </c>
      <c r="B106" s="124" t="s">
        <v>651</v>
      </c>
      <c r="C106" s="117" t="s">
        <v>651</v>
      </c>
      <c r="D106" s="117">
        <v>25</v>
      </c>
      <c r="E106" s="117">
        <v>25</v>
      </c>
      <c r="F106" s="117">
        <v>25</v>
      </c>
      <c r="G106" s="117">
        <v>25</v>
      </c>
      <c r="H106" s="117">
        <v>25</v>
      </c>
      <c r="I106" s="76" t="s">
        <v>1170</v>
      </c>
      <c r="J106" s="121"/>
    </row>
    <row r="107" spans="1:10" ht="14.65" thickBot="1">
      <c r="A107" s="120" t="s">
        <v>1168</v>
      </c>
      <c r="B107" s="130" t="s">
        <v>651</v>
      </c>
      <c r="C107" s="131" t="s">
        <v>651</v>
      </c>
      <c r="D107" s="131" t="s">
        <v>1169</v>
      </c>
      <c r="E107" s="131" t="s">
        <v>1169</v>
      </c>
      <c r="F107" s="131" t="s">
        <v>1169</v>
      </c>
      <c r="G107" s="131" t="s">
        <v>1169</v>
      </c>
      <c r="H107" s="131" t="s">
        <v>1169</v>
      </c>
      <c r="I107" s="84"/>
      <c r="J107" s="132"/>
    </row>
    <row r="108" spans="1:10" ht="14.65" thickBot="1"/>
    <row r="109" spans="1:10" ht="14.65" thickBot="1">
      <c r="A109" s="115" t="s">
        <v>1196</v>
      </c>
      <c r="B109" s="86">
        <v>2020</v>
      </c>
      <c r="C109" s="80">
        <v>2025</v>
      </c>
      <c r="D109" s="80">
        <v>2030</v>
      </c>
      <c r="E109" s="80">
        <v>2035</v>
      </c>
      <c r="F109" s="80">
        <v>2040</v>
      </c>
      <c r="G109" s="80">
        <v>2045</v>
      </c>
      <c r="H109" s="80">
        <v>2050</v>
      </c>
      <c r="I109" s="107" t="s">
        <v>567</v>
      </c>
      <c r="J109" s="82" t="s">
        <v>568</v>
      </c>
    </row>
    <row r="110" spans="1:10" ht="99.75">
      <c r="A110" s="119" t="s">
        <v>761</v>
      </c>
      <c r="B110" s="87">
        <v>2980.9920000000002</v>
      </c>
      <c r="C110" s="78">
        <v>1468.1385600000001</v>
      </c>
      <c r="D110" s="78">
        <v>773.19479999999999</v>
      </c>
      <c r="E110" s="78">
        <v>733.60349999999994</v>
      </c>
      <c r="F110" s="78">
        <v>694.01220000000001</v>
      </c>
      <c r="G110" s="78">
        <v>654.42089999999996</v>
      </c>
      <c r="H110" s="78">
        <v>614.82960000000003</v>
      </c>
      <c r="I110" s="210" t="s">
        <v>1197</v>
      </c>
      <c r="J110" s="103" t="s">
        <v>1198</v>
      </c>
    </row>
    <row r="111" spans="1:10" ht="28.5">
      <c r="A111" s="108" t="s">
        <v>764</v>
      </c>
      <c r="B111" s="88" t="s">
        <v>1199</v>
      </c>
      <c r="C111" s="73" t="s">
        <v>1200</v>
      </c>
      <c r="D111" s="73" t="s">
        <v>1201</v>
      </c>
      <c r="E111" s="73" t="s">
        <v>1202</v>
      </c>
      <c r="F111" s="73" t="s">
        <v>1203</v>
      </c>
      <c r="G111" s="73" t="s">
        <v>1204</v>
      </c>
      <c r="H111" s="73" t="s">
        <v>1205</v>
      </c>
      <c r="I111" s="217"/>
      <c r="J111" s="121"/>
    </row>
    <row r="112" spans="1:10">
      <c r="A112" s="108" t="s">
        <v>752</v>
      </c>
      <c r="B112" s="88">
        <v>0</v>
      </c>
      <c r="C112" s="73">
        <v>0</v>
      </c>
      <c r="D112" s="73">
        <v>0</v>
      </c>
      <c r="E112" s="73">
        <v>0</v>
      </c>
      <c r="F112" s="73">
        <v>0</v>
      </c>
      <c r="G112" s="73">
        <v>0</v>
      </c>
      <c r="H112" s="73">
        <v>0</v>
      </c>
      <c r="I112" s="217"/>
      <c r="J112" s="121"/>
    </row>
    <row r="113" spans="1:10" ht="71.25">
      <c r="A113" s="108" t="s">
        <v>774</v>
      </c>
      <c r="B113" s="88">
        <v>57.9</v>
      </c>
      <c r="C113" s="73">
        <v>61.344000000000001</v>
      </c>
      <c r="D113" s="73">
        <v>63.83</v>
      </c>
      <c r="E113" s="73">
        <v>64.77</v>
      </c>
      <c r="F113" s="73">
        <v>65.137</v>
      </c>
      <c r="G113" s="73">
        <v>66.863</v>
      </c>
      <c r="H113" s="73">
        <v>67.373999999999995</v>
      </c>
      <c r="I113" s="217"/>
      <c r="J113" s="118" t="s">
        <v>1206</v>
      </c>
    </row>
    <row r="114" spans="1:10">
      <c r="A114" s="108" t="s">
        <v>1184</v>
      </c>
      <c r="B114" s="88">
        <v>5.1813999999999999E-2</v>
      </c>
      <c r="C114" s="73">
        <v>4.8904999999999997E-2</v>
      </c>
      <c r="D114" s="73">
        <v>4.7E-2</v>
      </c>
      <c r="E114" s="73">
        <v>4.6317999999999998E-2</v>
      </c>
      <c r="F114" s="73">
        <v>4.6059999999999997E-2</v>
      </c>
      <c r="G114" s="73">
        <v>4.487E-2</v>
      </c>
      <c r="H114" s="73">
        <v>4.4527999999999998E-2</v>
      </c>
      <c r="I114" s="217"/>
      <c r="J114" s="121" t="s">
        <v>1185</v>
      </c>
    </row>
    <row r="115" spans="1:10">
      <c r="A115" s="108" t="s">
        <v>607</v>
      </c>
      <c r="B115" s="88">
        <v>100</v>
      </c>
      <c r="C115" s="73">
        <v>100</v>
      </c>
      <c r="D115" s="73">
        <v>100</v>
      </c>
      <c r="E115" s="73">
        <v>100</v>
      </c>
      <c r="F115" s="73">
        <v>100</v>
      </c>
      <c r="G115" s="73">
        <v>100</v>
      </c>
      <c r="H115" s="73">
        <v>100</v>
      </c>
      <c r="I115" s="217"/>
      <c r="J115" s="121"/>
    </row>
    <row r="116" spans="1:10">
      <c r="A116" s="108" t="s">
        <v>640</v>
      </c>
      <c r="B116" s="88">
        <v>20</v>
      </c>
      <c r="C116" s="73">
        <v>20</v>
      </c>
      <c r="D116" s="73">
        <v>20</v>
      </c>
      <c r="E116" s="73">
        <v>20</v>
      </c>
      <c r="F116" s="73">
        <v>20</v>
      </c>
      <c r="G116" s="73">
        <v>20</v>
      </c>
      <c r="H116" s="73">
        <v>20</v>
      </c>
      <c r="I116" s="217"/>
      <c r="J116" s="121"/>
    </row>
    <row r="117" spans="1:10">
      <c r="A117" s="108" t="s">
        <v>781</v>
      </c>
      <c r="B117" s="88">
        <v>10</v>
      </c>
      <c r="C117" s="73">
        <v>10</v>
      </c>
      <c r="D117" s="73">
        <v>15</v>
      </c>
      <c r="E117" s="73">
        <v>15</v>
      </c>
      <c r="F117" s="73">
        <v>15</v>
      </c>
      <c r="G117" s="73">
        <v>15</v>
      </c>
      <c r="H117" s="73">
        <v>15</v>
      </c>
      <c r="I117" s="217"/>
      <c r="J117" s="121"/>
    </row>
    <row r="118" spans="1:10">
      <c r="A118" s="108" t="s">
        <v>783</v>
      </c>
      <c r="B118" s="88">
        <v>60000</v>
      </c>
      <c r="C118" s="73">
        <v>60000</v>
      </c>
      <c r="D118" s="73">
        <v>80000</v>
      </c>
      <c r="E118" s="73">
        <v>80000</v>
      </c>
      <c r="F118" s="73">
        <v>80000</v>
      </c>
      <c r="G118" s="73">
        <v>80000</v>
      </c>
      <c r="H118" s="73">
        <v>80000</v>
      </c>
      <c r="I118" s="217"/>
      <c r="J118" s="121"/>
    </row>
    <row r="119" spans="1:10" ht="14.65" thickBot="1">
      <c r="A119" s="120" t="s">
        <v>1168</v>
      </c>
      <c r="B119" s="89" t="s">
        <v>1169</v>
      </c>
      <c r="C119" s="75" t="s">
        <v>1169</v>
      </c>
      <c r="D119" s="75" t="s">
        <v>1169</v>
      </c>
      <c r="E119" s="75" t="s">
        <v>1169</v>
      </c>
      <c r="F119" s="75" t="s">
        <v>1169</v>
      </c>
      <c r="G119" s="75" t="s">
        <v>1169</v>
      </c>
      <c r="H119" s="75" t="s">
        <v>1169</v>
      </c>
      <c r="I119" s="218"/>
      <c r="J119" s="132"/>
    </row>
    <row r="120" spans="1:10" ht="14.65" thickBot="1"/>
    <row r="121" spans="1:10" ht="14.65" thickBot="1">
      <c r="A121" s="115" t="s">
        <v>1207</v>
      </c>
      <c r="B121" s="86">
        <v>2020</v>
      </c>
      <c r="C121" s="80">
        <v>2025</v>
      </c>
      <c r="D121" s="80">
        <v>2030</v>
      </c>
      <c r="E121" s="80">
        <v>2035</v>
      </c>
      <c r="F121" s="80">
        <v>2040</v>
      </c>
      <c r="G121" s="80">
        <v>2045</v>
      </c>
      <c r="H121" s="80">
        <v>2050</v>
      </c>
      <c r="I121" s="81" t="s">
        <v>567</v>
      </c>
      <c r="J121" s="82" t="s">
        <v>568</v>
      </c>
    </row>
    <row r="122" spans="1:10" ht="57">
      <c r="A122" s="119" t="s">
        <v>761</v>
      </c>
      <c r="B122" s="87">
        <v>5325.72</v>
      </c>
      <c r="C122" s="78">
        <v>5214.24</v>
      </c>
      <c r="D122" s="78">
        <v>5102.75</v>
      </c>
      <c r="E122" s="78">
        <v>5052.95</v>
      </c>
      <c r="F122" s="78">
        <v>5003.1400000000003</v>
      </c>
      <c r="G122" s="78">
        <v>4953.34</v>
      </c>
      <c r="H122" s="78">
        <v>4903.54</v>
      </c>
      <c r="I122" s="210" t="s">
        <v>1208</v>
      </c>
      <c r="J122" s="103" t="s">
        <v>1209</v>
      </c>
    </row>
    <row r="123" spans="1:10">
      <c r="A123" s="108" t="s">
        <v>751</v>
      </c>
      <c r="B123" s="88">
        <v>290.22800000000001</v>
      </c>
      <c r="C123" s="73">
        <v>290.22800000000001</v>
      </c>
      <c r="D123" s="73">
        <v>290.22800000000001</v>
      </c>
      <c r="E123" s="73">
        <v>290.22800000000001</v>
      </c>
      <c r="F123" s="73">
        <v>290.22800000000001</v>
      </c>
      <c r="G123" s="73">
        <v>290.22800000000001</v>
      </c>
      <c r="H123" s="73">
        <v>290.22800000000001</v>
      </c>
      <c r="I123" s="217"/>
      <c r="J123" s="121"/>
    </row>
    <row r="124" spans="1:10">
      <c r="A124" s="108" t="s">
        <v>752</v>
      </c>
      <c r="B124" s="88">
        <v>8.4070000000000006E-2</v>
      </c>
      <c r="C124" s="73">
        <v>8.2242999999999997E-2</v>
      </c>
      <c r="D124" s="73">
        <v>8.0416000000000001E-2</v>
      </c>
      <c r="E124" s="73">
        <v>7.9500000000000001E-2</v>
      </c>
      <c r="F124" s="73">
        <v>7.8588000000000005E-2</v>
      </c>
      <c r="G124" s="73">
        <v>7.8588000000000005E-2</v>
      </c>
      <c r="H124" s="73">
        <v>7.8588000000000005E-2</v>
      </c>
      <c r="I124" s="217"/>
      <c r="J124" s="121"/>
    </row>
    <row r="125" spans="1:10" ht="28.5">
      <c r="A125" s="108" t="s">
        <v>1210</v>
      </c>
      <c r="B125" s="88">
        <v>52</v>
      </c>
      <c r="C125" s="73">
        <v>52</v>
      </c>
      <c r="D125" s="73">
        <v>52</v>
      </c>
      <c r="E125" s="73">
        <v>52</v>
      </c>
      <c r="F125" s="73">
        <v>52</v>
      </c>
      <c r="G125" s="73">
        <v>52</v>
      </c>
      <c r="H125" s="73">
        <v>52</v>
      </c>
      <c r="I125" s="217" t="s">
        <v>1211</v>
      </c>
      <c r="J125" s="118" t="s">
        <v>1212</v>
      </c>
    </row>
    <row r="126" spans="1:10">
      <c r="A126" s="108" t="s">
        <v>1213</v>
      </c>
      <c r="B126" s="88">
        <v>33</v>
      </c>
      <c r="C126" s="73">
        <v>33</v>
      </c>
      <c r="D126" s="73">
        <v>33</v>
      </c>
      <c r="E126" s="73">
        <v>33</v>
      </c>
      <c r="F126" s="73">
        <v>33</v>
      </c>
      <c r="G126" s="73">
        <v>33</v>
      </c>
      <c r="H126" s="73">
        <v>33</v>
      </c>
      <c r="I126" s="217"/>
      <c r="J126" s="121"/>
    </row>
    <row r="127" spans="1:10">
      <c r="A127" s="108" t="s">
        <v>1175</v>
      </c>
      <c r="B127" s="88">
        <v>0.63500000000000001</v>
      </c>
      <c r="C127" s="73">
        <v>0.63500000000000001</v>
      </c>
      <c r="D127" s="73">
        <v>0.63500000000000001</v>
      </c>
      <c r="E127" s="73">
        <v>0.63500000000000001</v>
      </c>
      <c r="F127" s="73">
        <v>0.63500000000000001</v>
      </c>
      <c r="G127" s="73">
        <v>0.63500000000000001</v>
      </c>
      <c r="H127" s="73">
        <v>0.63500000000000001</v>
      </c>
      <c r="I127" s="217"/>
      <c r="J127" s="121"/>
    </row>
    <row r="128" spans="1:10" ht="28.5">
      <c r="A128" s="108" t="s">
        <v>1214</v>
      </c>
      <c r="B128" s="88">
        <v>5.7693000000000001E-2</v>
      </c>
      <c r="C128" s="73">
        <v>5.7693000000000001E-2</v>
      </c>
      <c r="D128" s="73">
        <v>5.7693000000000001E-2</v>
      </c>
      <c r="E128" s="73">
        <v>5.7693000000000001E-2</v>
      </c>
      <c r="F128" s="73">
        <v>5.7693000000000001E-2</v>
      </c>
      <c r="G128" s="73">
        <v>5.7693000000000001E-2</v>
      </c>
      <c r="H128" s="73">
        <v>5.7693000000000001E-2</v>
      </c>
      <c r="I128" s="217"/>
      <c r="J128" s="118" t="s">
        <v>1215</v>
      </c>
    </row>
    <row r="129" spans="1:10" ht="28.5">
      <c r="A129" s="108" t="s">
        <v>1216</v>
      </c>
      <c r="B129" s="88">
        <v>0.138351</v>
      </c>
      <c r="C129" s="73">
        <v>0.138351</v>
      </c>
      <c r="D129" s="73">
        <v>0.138351</v>
      </c>
      <c r="E129" s="73">
        <v>0.138351</v>
      </c>
      <c r="F129" s="73">
        <v>0.138351</v>
      </c>
      <c r="G129" s="73">
        <v>0.138351</v>
      </c>
      <c r="H129" s="73">
        <v>0.138351</v>
      </c>
      <c r="I129" s="217"/>
      <c r="J129" s="121" t="s">
        <v>1162</v>
      </c>
    </row>
    <row r="130" spans="1:10" ht="28.5">
      <c r="A130" s="108" t="s">
        <v>1217</v>
      </c>
      <c r="B130" s="88">
        <v>0.34712599999999999</v>
      </c>
      <c r="C130" s="73">
        <v>0.34712599999999999</v>
      </c>
      <c r="D130" s="73">
        <v>0.34712599999999999</v>
      </c>
      <c r="E130" s="73">
        <v>0.34712599999999999</v>
      </c>
      <c r="F130" s="73">
        <v>0.34712599999999999</v>
      </c>
      <c r="G130" s="73">
        <v>0.34712599999999999</v>
      </c>
      <c r="H130" s="73">
        <v>0.34712599999999999</v>
      </c>
      <c r="I130" s="217"/>
      <c r="J130" s="121" t="s">
        <v>1218</v>
      </c>
    </row>
    <row r="131" spans="1:10" ht="28.5">
      <c r="A131" s="108" t="s">
        <v>1219</v>
      </c>
      <c r="B131" s="88">
        <v>0.37196800000000002</v>
      </c>
      <c r="C131" s="73">
        <v>0.37196800000000002</v>
      </c>
      <c r="D131" s="73">
        <v>0.37196800000000002</v>
      </c>
      <c r="E131" s="73">
        <v>0.37196800000000002</v>
      </c>
      <c r="F131" s="73">
        <v>0.37196800000000002</v>
      </c>
      <c r="G131" s="73">
        <v>0.37196800000000002</v>
      </c>
      <c r="H131" s="73">
        <v>0.37196800000000002</v>
      </c>
      <c r="I131" s="217"/>
      <c r="J131" s="121" t="s">
        <v>1220</v>
      </c>
    </row>
    <row r="132" spans="1:10">
      <c r="A132" s="108" t="s">
        <v>607</v>
      </c>
      <c r="B132" s="88">
        <v>50</v>
      </c>
      <c r="C132" s="73">
        <v>50</v>
      </c>
      <c r="D132" s="73">
        <v>50</v>
      </c>
      <c r="E132" s="73">
        <v>50</v>
      </c>
      <c r="F132" s="73">
        <v>50</v>
      </c>
      <c r="G132" s="73">
        <v>50</v>
      </c>
      <c r="H132" s="73">
        <v>50</v>
      </c>
      <c r="I132" s="217" t="s">
        <v>1221</v>
      </c>
      <c r="J132" s="121"/>
    </row>
    <row r="133" spans="1:10">
      <c r="A133" s="108" t="s">
        <v>640</v>
      </c>
      <c r="B133" s="88">
        <v>0</v>
      </c>
      <c r="C133" s="73">
        <v>0</v>
      </c>
      <c r="D133" s="73">
        <v>0</v>
      </c>
      <c r="E133" s="73">
        <v>0</v>
      </c>
      <c r="F133" s="73">
        <v>0</v>
      </c>
      <c r="G133" s="73">
        <v>0</v>
      </c>
      <c r="H133" s="73">
        <v>0</v>
      </c>
      <c r="I133" s="217"/>
      <c r="J133" s="121"/>
    </row>
    <row r="134" spans="1:10">
      <c r="A134" s="108" t="s">
        <v>1222</v>
      </c>
      <c r="B134" s="124" t="s">
        <v>1223</v>
      </c>
      <c r="C134" s="117" t="s">
        <v>1223</v>
      </c>
      <c r="D134" s="117" t="s">
        <v>1223</v>
      </c>
      <c r="E134" s="117" t="s">
        <v>1223</v>
      </c>
      <c r="F134" s="117" t="s">
        <v>1223</v>
      </c>
      <c r="G134" s="117" t="s">
        <v>1223</v>
      </c>
      <c r="H134" s="117" t="s">
        <v>1223</v>
      </c>
      <c r="I134" s="77"/>
      <c r="J134" s="121"/>
    </row>
    <row r="135" spans="1:10" ht="18" customHeight="1">
      <c r="A135" s="108" t="s">
        <v>1165</v>
      </c>
      <c r="B135" s="88" t="s">
        <v>1224</v>
      </c>
      <c r="C135" s="73" t="s">
        <v>1225</v>
      </c>
      <c r="D135" s="73" t="s">
        <v>1225</v>
      </c>
      <c r="E135" s="73" t="s">
        <v>1225</v>
      </c>
      <c r="F135" s="73" t="s">
        <v>1225</v>
      </c>
      <c r="G135" s="73" t="s">
        <v>1225</v>
      </c>
      <c r="H135" s="73" t="s">
        <v>1225</v>
      </c>
      <c r="I135" s="77" t="s">
        <v>1226</v>
      </c>
      <c r="J135" s="74" t="s">
        <v>1227</v>
      </c>
    </row>
    <row r="136" spans="1:10" ht="18" customHeight="1">
      <c r="A136" s="108" t="s">
        <v>611</v>
      </c>
      <c r="B136" s="88">
        <v>10</v>
      </c>
      <c r="C136" s="73">
        <v>10</v>
      </c>
      <c r="D136" s="73">
        <v>15</v>
      </c>
      <c r="E136" s="73">
        <v>15</v>
      </c>
      <c r="F136" s="73">
        <v>20</v>
      </c>
      <c r="G136" s="73">
        <v>20</v>
      </c>
      <c r="H136" s="73">
        <v>20</v>
      </c>
      <c r="I136" s="76" t="s">
        <v>1208</v>
      </c>
      <c r="J136" s="121"/>
    </row>
    <row r="137" spans="1:10" ht="14.65" thickBot="1">
      <c r="A137" s="120" t="s">
        <v>1168</v>
      </c>
      <c r="B137" s="89" t="s">
        <v>1169</v>
      </c>
      <c r="C137" s="75" t="s">
        <v>1169</v>
      </c>
      <c r="D137" s="75" t="s">
        <v>1169</v>
      </c>
      <c r="E137" s="75" t="s">
        <v>1169</v>
      </c>
      <c r="F137" s="75" t="s">
        <v>1169</v>
      </c>
      <c r="G137" s="75" t="s">
        <v>1169</v>
      </c>
      <c r="H137" s="75" t="s">
        <v>1169</v>
      </c>
      <c r="I137" s="84"/>
      <c r="J137" s="132"/>
    </row>
    <row r="138" spans="1:10" ht="14.65" thickBot="1"/>
    <row r="139" spans="1:10" ht="28.9" thickBot="1">
      <c r="A139" s="115" t="s">
        <v>1228</v>
      </c>
      <c r="B139" s="86">
        <v>2020</v>
      </c>
      <c r="C139" s="80">
        <v>2025</v>
      </c>
      <c r="D139" s="80">
        <v>2030</v>
      </c>
      <c r="E139" s="80">
        <v>2035</v>
      </c>
      <c r="F139" s="80">
        <v>2040</v>
      </c>
      <c r="G139" s="80">
        <v>2045</v>
      </c>
      <c r="H139" s="80">
        <v>2050</v>
      </c>
      <c r="I139" s="107" t="s">
        <v>567</v>
      </c>
      <c r="J139" s="82" t="s">
        <v>568</v>
      </c>
    </row>
    <row r="140" spans="1:10" ht="57">
      <c r="A140" s="119" t="s">
        <v>761</v>
      </c>
      <c r="B140" s="87">
        <v>8939.86</v>
      </c>
      <c r="C140" s="78">
        <v>8711.8700000000008</v>
      </c>
      <c r="D140" s="78">
        <v>8483.8700000000008</v>
      </c>
      <c r="E140" s="78">
        <v>8218.86</v>
      </c>
      <c r="F140" s="78">
        <v>7953.85</v>
      </c>
      <c r="G140" s="78">
        <v>7751</v>
      </c>
      <c r="H140" s="78">
        <v>7548.12</v>
      </c>
      <c r="I140" s="210" t="s">
        <v>1208</v>
      </c>
      <c r="J140" s="103" t="s">
        <v>1229</v>
      </c>
    </row>
    <row r="141" spans="1:10">
      <c r="A141" s="108" t="s">
        <v>751</v>
      </c>
      <c r="B141" s="88">
        <v>91.381600000000006</v>
      </c>
      <c r="C141" s="73">
        <v>91.381600000000006</v>
      </c>
      <c r="D141" s="73">
        <v>91.381600000000006</v>
      </c>
      <c r="E141" s="73">
        <v>91.381600000000006</v>
      </c>
      <c r="F141" s="73">
        <v>91.381600000000006</v>
      </c>
      <c r="G141" s="73">
        <v>91.381600000000006</v>
      </c>
      <c r="H141" s="73">
        <v>91.381600000000006</v>
      </c>
      <c r="I141" s="217"/>
      <c r="J141" s="121"/>
    </row>
    <row r="142" spans="1:10">
      <c r="A142" s="108" t="s">
        <v>752</v>
      </c>
      <c r="B142" s="88">
        <v>3.2899999999999999E-2</v>
      </c>
      <c r="C142" s="73">
        <v>3.2439999999999997E-2</v>
      </c>
      <c r="D142" s="73">
        <v>3.2000000000000001E-2</v>
      </c>
      <c r="E142" s="73">
        <v>3.1530000000000002E-2</v>
      </c>
      <c r="F142" s="73">
        <v>3.107E-2</v>
      </c>
      <c r="G142" s="73">
        <v>3.0613000000000001E-2</v>
      </c>
      <c r="H142" s="73">
        <v>3.0159999999999999E-2</v>
      </c>
      <c r="I142" s="217"/>
      <c r="J142" s="121"/>
    </row>
    <row r="143" spans="1:10">
      <c r="A143" s="108" t="s">
        <v>1210</v>
      </c>
      <c r="B143" s="124">
        <v>50.7</v>
      </c>
      <c r="C143" s="117">
        <v>51.95</v>
      </c>
      <c r="D143" s="117">
        <v>53.19</v>
      </c>
      <c r="E143" s="117">
        <v>54.963000000000001</v>
      </c>
      <c r="F143" s="117">
        <v>56.735999999999997</v>
      </c>
      <c r="G143" s="117">
        <v>57.92</v>
      </c>
      <c r="H143" s="117">
        <v>59.1</v>
      </c>
      <c r="I143" s="217"/>
      <c r="J143" s="121"/>
    </row>
    <row r="144" spans="1:10">
      <c r="A144" s="108" t="s">
        <v>1213</v>
      </c>
      <c r="B144" s="124">
        <v>50.35</v>
      </c>
      <c r="C144" s="117">
        <v>50.89</v>
      </c>
      <c r="D144" s="117">
        <v>51.42</v>
      </c>
      <c r="E144" s="117">
        <v>50.826999999999998</v>
      </c>
      <c r="F144" s="117">
        <v>50.234000000000002</v>
      </c>
      <c r="G144" s="117">
        <v>50.232999999999997</v>
      </c>
      <c r="H144" s="117">
        <v>50.234999999999999</v>
      </c>
      <c r="I144" s="217"/>
      <c r="J144" s="121"/>
    </row>
    <row r="145" spans="1:10">
      <c r="A145" s="108" t="s">
        <v>1175</v>
      </c>
      <c r="B145" s="124">
        <v>0.99329999999999996</v>
      </c>
      <c r="C145" s="117">
        <v>0.98</v>
      </c>
      <c r="D145" s="117">
        <v>0.96699999999999997</v>
      </c>
      <c r="E145" s="117">
        <v>0.92500000000000004</v>
      </c>
      <c r="F145" s="117">
        <v>0.88539999999999996</v>
      </c>
      <c r="G145" s="117">
        <v>0.86729999999999996</v>
      </c>
      <c r="H145" s="117">
        <v>0.85</v>
      </c>
      <c r="I145" s="217"/>
      <c r="J145" s="121"/>
    </row>
    <row r="146" spans="1:10">
      <c r="A146" s="108" t="s">
        <v>1184</v>
      </c>
      <c r="B146" s="124">
        <v>5.9199999999999997E-4</v>
      </c>
      <c r="C146" s="117">
        <v>5.7700000000000004E-4</v>
      </c>
      <c r="D146" s="117">
        <v>5.6400000000000005E-4</v>
      </c>
      <c r="E146" s="117">
        <v>5.4600000000000004E-4</v>
      </c>
      <c r="F146" s="117">
        <v>5.2899999999999996E-4</v>
      </c>
      <c r="G146" s="117">
        <v>5.1800000000000001E-4</v>
      </c>
      <c r="H146" s="117">
        <v>5.0799999999999999E-4</v>
      </c>
      <c r="I146" s="217"/>
      <c r="J146" s="121" t="s">
        <v>1185</v>
      </c>
    </row>
    <row r="147" spans="1:10">
      <c r="A147" s="108" t="s">
        <v>607</v>
      </c>
      <c r="B147" s="124">
        <v>100</v>
      </c>
      <c r="C147" s="117">
        <v>100</v>
      </c>
      <c r="D147" s="117">
        <v>100</v>
      </c>
      <c r="E147" s="117">
        <v>100</v>
      </c>
      <c r="F147" s="117">
        <v>100</v>
      </c>
      <c r="G147" s="117">
        <v>100</v>
      </c>
      <c r="H147" s="117">
        <v>100</v>
      </c>
      <c r="I147" s="217"/>
      <c r="J147" s="121"/>
    </row>
    <row r="148" spans="1:10">
      <c r="A148" s="108" t="s">
        <v>640</v>
      </c>
      <c r="B148" s="124">
        <v>0</v>
      </c>
      <c r="C148" s="117">
        <v>0</v>
      </c>
      <c r="D148" s="117">
        <v>0</v>
      </c>
      <c r="E148" s="117">
        <v>0</v>
      </c>
      <c r="F148" s="117">
        <v>0</v>
      </c>
      <c r="G148" s="117">
        <v>0</v>
      </c>
      <c r="H148" s="117">
        <v>0</v>
      </c>
      <c r="I148" s="217"/>
      <c r="J148" s="121"/>
    </row>
    <row r="149" spans="1:10">
      <c r="A149" s="108" t="s">
        <v>1165</v>
      </c>
      <c r="B149" s="124" t="s">
        <v>1230</v>
      </c>
      <c r="C149" s="117" t="s">
        <v>1230</v>
      </c>
      <c r="D149" s="117" t="s">
        <v>1230</v>
      </c>
      <c r="E149" s="117" t="s">
        <v>1230</v>
      </c>
      <c r="F149" s="117" t="s">
        <v>1230</v>
      </c>
      <c r="G149" s="117" t="s">
        <v>1230</v>
      </c>
      <c r="H149" s="117" t="s">
        <v>1230</v>
      </c>
      <c r="I149" s="217"/>
      <c r="J149" s="121"/>
    </row>
    <row r="150" spans="1:10">
      <c r="A150" s="108" t="s">
        <v>611</v>
      </c>
      <c r="B150" s="88">
        <v>10</v>
      </c>
      <c r="C150" s="73">
        <v>10</v>
      </c>
      <c r="D150" s="73">
        <v>10</v>
      </c>
      <c r="E150" s="73">
        <v>10</v>
      </c>
      <c r="F150" s="73">
        <v>10</v>
      </c>
      <c r="G150" s="73">
        <v>10</v>
      </c>
      <c r="H150" s="73">
        <v>10</v>
      </c>
      <c r="I150" s="217"/>
      <c r="J150" s="121"/>
    </row>
    <row r="151" spans="1:10" ht="14.65" thickBot="1">
      <c r="A151" s="120" t="s">
        <v>1168</v>
      </c>
      <c r="B151" s="130" t="s">
        <v>1169</v>
      </c>
      <c r="C151" s="131" t="s">
        <v>1169</v>
      </c>
      <c r="D151" s="131" t="s">
        <v>1169</v>
      </c>
      <c r="E151" s="131" t="s">
        <v>1169</v>
      </c>
      <c r="F151" s="131" t="s">
        <v>1169</v>
      </c>
      <c r="G151" s="131" t="s">
        <v>1169</v>
      </c>
      <c r="H151" s="131" t="s">
        <v>1169</v>
      </c>
      <c r="I151" s="218"/>
      <c r="J151" s="132"/>
    </row>
  </sheetData>
  <mergeCells count="17">
    <mergeCell ref="I83:I87"/>
    <mergeCell ref="I140:I151"/>
    <mergeCell ref="I7:I8"/>
    <mergeCell ref="I34:I35"/>
    <mergeCell ref="I132:I133"/>
    <mergeCell ref="I2:I6"/>
    <mergeCell ref="I29:I33"/>
    <mergeCell ref="I56:I60"/>
    <mergeCell ref="I122:I124"/>
    <mergeCell ref="I125:I131"/>
    <mergeCell ref="I88:I89"/>
    <mergeCell ref="I110:I119"/>
    <mergeCell ref="I15:I23"/>
    <mergeCell ref="I69:I77"/>
    <mergeCell ref="I42:I50"/>
    <mergeCell ref="I96:I104"/>
    <mergeCell ref="I61:I62"/>
  </mergeCells>
  <phoneticPr fontId="2" type="noConversion"/>
  <hyperlinks>
    <hyperlink ref="I7" r:id="rId1" display="https://www.irena.org/-/media/Files/IRENA/Agency/Publication/2019/Sep/IRENA_Flexibility_in_CPPs_2019.pdf?la=en&amp;hash=AF60106EA083E492638D8FA9ADF7FD099259F5A1" xr:uid="{15675F0B-5EB6-407E-A164-A9DA14CCB8B2}"/>
    <hyperlink ref="I34" r:id="rId2" display="https://www.irena.org/-/media/Files/IRENA/Agency/Publication/2019/Sep/IRENA_Flexibility_in_CPPs_2019.pdf?la=en&amp;hash=AF60106EA083E492638D8FA9ADF7FD099259F5A1" xr:uid="{F8B8BD0E-6FAC-482B-AC8B-7EE84819D909}"/>
    <hyperlink ref="I61" r:id="rId3" display="https://www.irena.org/-/media/Files/IRENA/Agency/Publication/2019/Sep/IRENA_Flexibility_in_CPPs_2019.pdf?la=en&amp;hash=AF60106EA083E492638D8FA9ADF7FD099259F5A1" xr:uid="{2C7E4036-55F6-436C-8805-17503CB0ED79}"/>
    <hyperlink ref="I88" r:id="rId4" display="https://www.irena.org/-/media/Files/IRENA/Agency/Publication/2019/Sep/IRENA_Flexibility_in_CPPs_2019.pdf?la=en&amp;hash=AF60106EA083E492638D8FA9ADF7FD099259F5A1" xr:uid="{CD9E04EF-D2F1-4BAC-8E77-714C20518851}"/>
    <hyperlink ref="I110" r:id="rId5" display="https://iea.blob.core.windows.net/assets/e669e0b6-148c-4d5c-816b-a7661301fa96/TechnologyRoadmapHydrogenandFuelCells.pdf" xr:uid="{8B241AB4-923D-4CEB-BF14-427B4D830657}"/>
    <hyperlink ref="I122" r:id="rId6" display="https://www.eia.gov/analysis/studies/buildings/dg_storage_chp/pdf/dg_storage_chp.pdf" xr:uid="{F02708EE-D112-4260-BB4E-B194D5D892AB}"/>
    <hyperlink ref="I132" r:id="rId7" display="https://www.mdpi.com/2073-4352/11/7/732" xr:uid="{D1855E6E-DBFB-4A53-B72D-066C128669FB}"/>
    <hyperlink ref="I136" r:id="rId8" display="https://www.eia.gov/analysis/studies/buildings/dg_storage_chp/pdf/dg_storage_chp.pdf" xr:uid="{621DDEA6-082E-420A-B38C-8584FB00688B}"/>
    <hyperlink ref="I9" r:id="rId9" display="https://www.mdpi.com/1996-1073/14/17/5338" xr:uid="{AC202D91-2B0E-47BB-A3F7-DBF7B6053520}"/>
    <hyperlink ref="I36" r:id="rId10" display="https://www.mdpi.com/1996-1073/14/17/5338" xr:uid="{B73D377C-CF2C-474D-AC77-C046E2D15760}"/>
    <hyperlink ref="I63" r:id="rId11" display="https://www.mdpi.com/1996-1073/14/17/5338" xr:uid="{90E2D48B-D5B5-4659-BA56-EF5BAB40FE87}"/>
    <hyperlink ref="I90" r:id="rId12" display="https://www.mdpi.com/1996-1073/14/17/5338" xr:uid="{862ADFF7-19B3-4DBC-A287-E36A9EA70F26}"/>
    <hyperlink ref="I140" r:id="rId13" display="https://www.eia.gov/analysis/studies/buildings/dg_storage_chp/pdf/dg_storage_chp.pdf" xr:uid="{AE5B9132-61C4-4BC7-8E3E-1C14C630588A}"/>
    <hyperlink ref="I15" r:id="rId14" display="https://ens.dk/sites/ens.dk/files/Statistik/technology_data_catalogue_for_el_and_dh_-_0009.pdf" xr:uid="{2142BDA1-E5C6-45F6-B298-5AB06F4ADAF7}"/>
    <hyperlink ref="I25" r:id="rId15" display="https://ens.dk/sites/ens.dk/files/Statistik/technology_data_catalogue_for_el_and_dh_-_0009.pdf" xr:uid="{20A3FF3C-D0C1-4614-AF8F-00362D1FFDAF}"/>
    <hyperlink ref="I69" r:id="rId16" display="https://ens.dk/sites/ens.dk/files/Statistik/technology_data_catalogue_for_el_and_dh_-_0009.pdf" xr:uid="{203F2829-21D9-45BC-B491-F9A79477F501}"/>
    <hyperlink ref="I79" r:id="rId17" display="https://ens.dk/sites/ens.dk/files/Statistik/technology_data_catalogue_for_el_and_dh_-_0009.pdf" xr:uid="{7203E271-5F16-43D0-AF89-793C873A804C}"/>
    <hyperlink ref="I42" r:id="rId18" display="https://ens.dk/sites/ens.dk/files/Statistik/technology_data_catalogue_for_el_and_dh_-_0009.pdf" xr:uid="{80973C0B-3FAA-4C64-B273-B44019FB8545}"/>
    <hyperlink ref="I52" r:id="rId19" display="https://ens.dk/sites/ens.dk/files/Statistik/technology_data_catalogue_for_el_and_dh_-_0009.pdf" xr:uid="{C3E3E87C-7361-42A2-A0FD-1AD595E32F0E}"/>
    <hyperlink ref="I96" r:id="rId20" display="https://ens.dk/sites/ens.dk/files/Statistik/technology_data_catalogue_for_el_and_dh_-_0009.pdf" xr:uid="{0291A603-522D-4283-965B-4E49DA143A59}"/>
    <hyperlink ref="I106" r:id="rId21" display="https://ens.dk/sites/ens.dk/files/Statistik/technology_data_catalogue_for_el_and_dh_-_0009.pdf" xr:uid="{CFA763AC-A12C-45F3-A2AB-35B8571BD72E}"/>
    <hyperlink ref="I125" r:id="rId22" xr:uid="{1F9307E0-93BB-4027-A97A-48DA5FE7BCAE}"/>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016C0-C59A-47F4-89DF-D3DA898CC4F8}">
  <sheetPr codeName="Hoja16"/>
  <dimension ref="A1:J39"/>
  <sheetViews>
    <sheetView workbookViewId="0">
      <selection activeCell="B8" sqref="B8"/>
    </sheetView>
  </sheetViews>
  <sheetFormatPr defaultColWidth="11.42578125" defaultRowHeight="14.25"/>
  <cols>
    <col min="1" max="1" width="29.5703125" bestFit="1" customWidth="1"/>
    <col min="9" max="9" width="11.5703125" style="71"/>
    <col min="10" max="10" width="49" customWidth="1"/>
  </cols>
  <sheetData>
    <row r="1" spans="1:10" ht="28.9" thickBot="1">
      <c r="A1" s="115" t="s">
        <v>1231</v>
      </c>
      <c r="B1" s="86">
        <v>2020</v>
      </c>
      <c r="C1" s="80">
        <v>2025</v>
      </c>
      <c r="D1" s="80">
        <v>2030</v>
      </c>
      <c r="E1" s="80">
        <v>2035</v>
      </c>
      <c r="F1" s="80">
        <v>2040</v>
      </c>
      <c r="G1" s="80">
        <v>2045</v>
      </c>
      <c r="H1" s="80">
        <v>2050</v>
      </c>
      <c r="I1" s="107" t="s">
        <v>567</v>
      </c>
      <c r="J1" s="82" t="s">
        <v>568</v>
      </c>
    </row>
    <row r="2" spans="1:10" ht="16.149999999999999" customHeight="1">
      <c r="A2" s="111" t="s">
        <v>946</v>
      </c>
      <c r="B2" s="87">
        <v>7</v>
      </c>
      <c r="C2" s="78">
        <v>7</v>
      </c>
      <c r="D2" s="78">
        <v>7</v>
      </c>
      <c r="E2" s="78">
        <v>7</v>
      </c>
      <c r="F2" s="78">
        <v>7</v>
      </c>
      <c r="G2" s="78">
        <v>7</v>
      </c>
      <c r="H2" s="78">
        <v>7</v>
      </c>
      <c r="I2" s="209" t="s">
        <v>1232</v>
      </c>
      <c r="J2" s="83"/>
    </row>
    <row r="3" spans="1:10" ht="28.5">
      <c r="A3" s="108" t="s">
        <v>1233</v>
      </c>
      <c r="B3" s="88">
        <v>0</v>
      </c>
      <c r="C3" s="73">
        <v>0</v>
      </c>
      <c r="D3" s="73">
        <v>0</v>
      </c>
      <c r="E3" s="73">
        <v>0</v>
      </c>
      <c r="F3" s="73">
        <v>0</v>
      </c>
      <c r="G3" s="73">
        <v>0</v>
      </c>
      <c r="H3" s="73">
        <v>0</v>
      </c>
      <c r="I3" s="209"/>
      <c r="J3" s="99"/>
    </row>
    <row r="4" spans="1:10">
      <c r="A4" s="91" t="s">
        <v>955</v>
      </c>
      <c r="B4" s="88">
        <v>0.7</v>
      </c>
      <c r="C4" s="73">
        <v>0.7</v>
      </c>
      <c r="D4" s="73">
        <v>0.7</v>
      </c>
      <c r="E4" s="73">
        <v>0.7</v>
      </c>
      <c r="F4" s="73">
        <v>0.7</v>
      </c>
      <c r="G4" s="73">
        <v>0.7</v>
      </c>
      <c r="H4" s="73">
        <v>0.7</v>
      </c>
      <c r="I4" s="209"/>
      <c r="J4" s="9"/>
    </row>
    <row r="5" spans="1:10">
      <c r="A5" s="91" t="s">
        <v>918</v>
      </c>
      <c r="B5" s="88">
        <v>90</v>
      </c>
      <c r="C5" s="73">
        <v>90</v>
      </c>
      <c r="D5" s="73">
        <v>90</v>
      </c>
      <c r="E5" s="73">
        <v>90</v>
      </c>
      <c r="F5" s="73">
        <v>90</v>
      </c>
      <c r="G5" s="73">
        <v>90</v>
      </c>
      <c r="H5" s="73">
        <v>90</v>
      </c>
      <c r="I5" s="209"/>
      <c r="J5" s="9"/>
    </row>
    <row r="6" spans="1:10" s="69" customFormat="1">
      <c r="A6" s="91" t="s">
        <v>1234</v>
      </c>
      <c r="B6" s="88">
        <v>5000</v>
      </c>
      <c r="C6" s="73">
        <v>5000</v>
      </c>
      <c r="D6" s="73">
        <v>5000</v>
      </c>
      <c r="E6" s="73">
        <v>5000</v>
      </c>
      <c r="F6" s="73">
        <v>5000</v>
      </c>
      <c r="G6" s="73">
        <v>5000</v>
      </c>
      <c r="H6" s="73">
        <v>5000</v>
      </c>
      <c r="I6" s="209"/>
      <c r="J6" s="126"/>
    </row>
    <row r="7" spans="1:10">
      <c r="A7" s="91" t="s">
        <v>938</v>
      </c>
      <c r="B7" s="124">
        <v>100</v>
      </c>
      <c r="C7" s="117">
        <v>100</v>
      </c>
      <c r="D7" s="117">
        <v>100</v>
      </c>
      <c r="E7" s="117">
        <v>100</v>
      </c>
      <c r="F7" s="117">
        <v>100</v>
      </c>
      <c r="G7" s="117">
        <v>100</v>
      </c>
      <c r="H7" s="117">
        <v>100</v>
      </c>
      <c r="I7" s="209"/>
      <c r="J7" s="9"/>
    </row>
    <row r="8" spans="1:10">
      <c r="A8" s="91" t="s">
        <v>940</v>
      </c>
      <c r="B8" s="88" t="s">
        <v>1235</v>
      </c>
      <c r="C8" s="73" t="s">
        <v>1235</v>
      </c>
      <c r="D8" s="73" t="s">
        <v>1235</v>
      </c>
      <c r="E8" s="73" t="s">
        <v>1235</v>
      </c>
      <c r="F8" s="73" t="s">
        <v>1235</v>
      </c>
      <c r="G8" s="73" t="s">
        <v>1235</v>
      </c>
      <c r="H8" s="73" t="s">
        <v>1235</v>
      </c>
      <c r="I8" s="209"/>
      <c r="J8" s="9"/>
    </row>
    <row r="9" spans="1:10" ht="14.65" thickBot="1">
      <c r="A9" s="92" t="s">
        <v>611</v>
      </c>
      <c r="B9" s="89">
        <v>30</v>
      </c>
      <c r="C9" s="75">
        <v>30</v>
      </c>
      <c r="D9" s="75">
        <v>30</v>
      </c>
      <c r="E9" s="75">
        <v>30</v>
      </c>
      <c r="F9" s="75">
        <v>30</v>
      </c>
      <c r="G9" s="75">
        <v>30</v>
      </c>
      <c r="H9" s="75">
        <v>30</v>
      </c>
      <c r="I9" s="222"/>
      <c r="J9" s="13"/>
    </row>
    <row r="10" spans="1:10" ht="14.65" thickBot="1"/>
    <row r="11" spans="1:10" ht="28.9" thickBot="1">
      <c r="A11" s="115" t="s">
        <v>1236</v>
      </c>
      <c r="B11" s="86">
        <v>2020</v>
      </c>
      <c r="C11" s="80">
        <v>2025</v>
      </c>
      <c r="D11" s="80">
        <v>2030</v>
      </c>
      <c r="E11" s="80">
        <v>2035</v>
      </c>
      <c r="F11" s="80">
        <v>2040</v>
      </c>
      <c r="G11" s="80">
        <v>2045</v>
      </c>
      <c r="H11" s="80">
        <v>2050</v>
      </c>
      <c r="I11" s="107" t="s">
        <v>567</v>
      </c>
      <c r="J11" s="82" t="s">
        <v>568</v>
      </c>
    </row>
    <row r="12" spans="1:10" ht="89.45" customHeight="1">
      <c r="A12" s="111" t="s">
        <v>946</v>
      </c>
      <c r="B12" s="87">
        <v>171.41399999999999</v>
      </c>
      <c r="C12" s="78">
        <v>171.41399999999999</v>
      </c>
      <c r="D12" s="78">
        <v>171.41399999999999</v>
      </c>
      <c r="E12" s="78">
        <v>171.41399999999999</v>
      </c>
      <c r="F12" s="78">
        <v>171.41399999999999</v>
      </c>
      <c r="G12" s="78">
        <v>171.41399999999999</v>
      </c>
      <c r="H12" s="78">
        <v>171.41399999999999</v>
      </c>
      <c r="I12" s="209" t="s">
        <v>1237</v>
      </c>
      <c r="J12" s="98" t="s">
        <v>1238</v>
      </c>
    </row>
    <row r="13" spans="1:10" ht="28.5">
      <c r="A13" s="108" t="s">
        <v>1233</v>
      </c>
      <c r="B13" s="88">
        <v>0</v>
      </c>
      <c r="C13" s="73">
        <v>0</v>
      </c>
      <c r="D13" s="73">
        <v>0</v>
      </c>
      <c r="E13" s="73">
        <v>0</v>
      </c>
      <c r="F13" s="73">
        <v>0</v>
      </c>
      <c r="G13" s="73">
        <v>0</v>
      </c>
      <c r="H13" s="73">
        <v>0</v>
      </c>
      <c r="I13" s="209"/>
      <c r="J13" s="99"/>
    </row>
    <row r="14" spans="1:10">
      <c r="A14" s="91" t="s">
        <v>955</v>
      </c>
      <c r="B14" s="88">
        <v>0</v>
      </c>
      <c r="C14" s="73">
        <v>0</v>
      </c>
      <c r="D14" s="73">
        <v>0</v>
      </c>
      <c r="E14" s="73">
        <v>0</v>
      </c>
      <c r="F14" s="73">
        <v>0</v>
      </c>
      <c r="G14" s="73">
        <v>0</v>
      </c>
      <c r="H14" s="73">
        <v>0</v>
      </c>
      <c r="I14" s="209"/>
      <c r="J14" s="9"/>
    </row>
    <row r="15" spans="1:10">
      <c r="A15" s="91" t="s">
        <v>918</v>
      </c>
      <c r="B15" s="88">
        <v>90</v>
      </c>
      <c r="C15" s="73">
        <v>90</v>
      </c>
      <c r="D15" s="73">
        <v>90</v>
      </c>
      <c r="E15" s="73">
        <v>90</v>
      </c>
      <c r="F15" s="73">
        <v>90</v>
      </c>
      <c r="G15" s="73">
        <v>90</v>
      </c>
      <c r="H15" s="73">
        <v>90</v>
      </c>
      <c r="I15" s="209"/>
      <c r="J15" s="9"/>
    </row>
    <row r="16" spans="1:10">
      <c r="A16" s="91" t="s">
        <v>1234</v>
      </c>
      <c r="B16" s="88" t="s">
        <v>651</v>
      </c>
      <c r="C16" s="73" t="s">
        <v>651</v>
      </c>
      <c r="D16" s="73" t="s">
        <v>651</v>
      </c>
      <c r="E16" s="73" t="s">
        <v>651</v>
      </c>
      <c r="F16" s="73" t="s">
        <v>651</v>
      </c>
      <c r="G16" s="73" t="s">
        <v>651</v>
      </c>
      <c r="H16" s="73" t="s">
        <v>651</v>
      </c>
      <c r="I16" s="209"/>
      <c r="J16" s="126"/>
    </row>
    <row r="17" spans="1:10">
      <c r="A17" s="91" t="s">
        <v>938</v>
      </c>
      <c r="B17" s="124">
        <v>750</v>
      </c>
      <c r="C17" s="117">
        <v>750</v>
      </c>
      <c r="D17" s="117">
        <v>750</v>
      </c>
      <c r="E17" s="117">
        <v>750</v>
      </c>
      <c r="F17" s="117">
        <v>750</v>
      </c>
      <c r="G17" s="117">
        <v>750</v>
      </c>
      <c r="H17" s="117">
        <v>750</v>
      </c>
      <c r="I17" s="209"/>
      <c r="J17" s="9"/>
    </row>
    <row r="18" spans="1:10">
      <c r="A18" s="91" t="s">
        <v>940</v>
      </c>
      <c r="B18" s="88">
        <v>500</v>
      </c>
      <c r="C18" s="73">
        <v>500</v>
      </c>
      <c r="D18" s="73">
        <v>500</v>
      </c>
      <c r="E18" s="73">
        <v>500</v>
      </c>
      <c r="F18" s="73">
        <v>500</v>
      </c>
      <c r="G18" s="73">
        <v>500</v>
      </c>
      <c r="H18" s="73">
        <v>500</v>
      </c>
      <c r="I18" s="209"/>
      <c r="J18" s="9"/>
    </row>
    <row r="19" spans="1:10" ht="14.65" thickBot="1">
      <c r="A19" s="92" t="s">
        <v>611</v>
      </c>
      <c r="B19" s="89">
        <v>30</v>
      </c>
      <c r="C19" s="75">
        <v>30</v>
      </c>
      <c r="D19" s="75">
        <v>30</v>
      </c>
      <c r="E19" s="75">
        <v>30</v>
      </c>
      <c r="F19" s="75">
        <v>30</v>
      </c>
      <c r="G19" s="75">
        <v>30</v>
      </c>
      <c r="H19" s="75">
        <v>30</v>
      </c>
      <c r="I19" s="222"/>
      <c r="J19" s="13"/>
    </row>
    <row r="20" spans="1:10" ht="14.65" thickBot="1"/>
    <row r="21" spans="1:10" ht="28.9" thickBot="1">
      <c r="A21" s="115" t="s">
        <v>1239</v>
      </c>
      <c r="B21" s="86">
        <v>2020</v>
      </c>
      <c r="C21" s="80">
        <v>2025</v>
      </c>
      <c r="D21" s="80">
        <v>2030</v>
      </c>
      <c r="E21" s="80">
        <v>2035</v>
      </c>
      <c r="F21" s="80">
        <v>2040</v>
      </c>
      <c r="G21" s="80">
        <v>2045</v>
      </c>
      <c r="H21" s="80">
        <v>2050</v>
      </c>
      <c r="I21" s="107" t="s">
        <v>567</v>
      </c>
      <c r="J21" s="82" t="s">
        <v>568</v>
      </c>
    </row>
    <row r="22" spans="1:10" ht="30.6" customHeight="1">
      <c r="A22" s="111" t="s">
        <v>946</v>
      </c>
      <c r="B22" s="87">
        <v>96</v>
      </c>
      <c r="C22" s="78">
        <v>96</v>
      </c>
      <c r="D22" s="78">
        <v>96</v>
      </c>
      <c r="E22" s="78">
        <v>96</v>
      </c>
      <c r="F22" s="78">
        <v>96</v>
      </c>
      <c r="G22" s="78">
        <v>96</v>
      </c>
      <c r="H22" s="78">
        <v>96</v>
      </c>
      <c r="I22" s="209" t="s">
        <v>1240</v>
      </c>
      <c r="J22" s="98" t="s">
        <v>1021</v>
      </c>
    </row>
    <row r="23" spans="1:10" ht="28.5">
      <c r="A23" s="108" t="s">
        <v>1233</v>
      </c>
      <c r="B23" s="88">
        <v>0</v>
      </c>
      <c r="C23" s="73">
        <v>0</v>
      </c>
      <c r="D23" s="73">
        <v>0</v>
      </c>
      <c r="E23" s="73">
        <v>0</v>
      </c>
      <c r="F23" s="73">
        <v>0</v>
      </c>
      <c r="G23" s="73">
        <v>0</v>
      </c>
      <c r="H23" s="73">
        <v>0</v>
      </c>
      <c r="I23" s="209"/>
      <c r="J23" s="99"/>
    </row>
    <row r="24" spans="1:10">
      <c r="A24" s="91" t="s">
        <v>955</v>
      </c>
      <c r="B24" s="88">
        <v>0</v>
      </c>
      <c r="C24" s="73">
        <v>0</v>
      </c>
      <c r="D24" s="73">
        <v>0</v>
      </c>
      <c r="E24" s="73">
        <v>0</v>
      </c>
      <c r="F24" s="73">
        <v>0</v>
      </c>
      <c r="G24" s="73">
        <v>0</v>
      </c>
      <c r="H24" s="73">
        <v>0</v>
      </c>
      <c r="I24" s="209"/>
      <c r="J24" s="9"/>
    </row>
    <row r="25" spans="1:10">
      <c r="A25" s="91" t="s">
        <v>918</v>
      </c>
      <c r="B25" s="88">
        <v>90</v>
      </c>
      <c r="C25" s="73">
        <v>90</v>
      </c>
      <c r="D25" s="73">
        <v>90</v>
      </c>
      <c r="E25" s="73">
        <v>90</v>
      </c>
      <c r="F25" s="73">
        <v>90</v>
      </c>
      <c r="G25" s="73">
        <v>90</v>
      </c>
      <c r="H25" s="73">
        <v>90</v>
      </c>
      <c r="I25" s="209"/>
      <c r="J25" s="9"/>
    </row>
    <row r="26" spans="1:10">
      <c r="A26" s="91" t="s">
        <v>1234</v>
      </c>
      <c r="B26" s="88">
        <v>100</v>
      </c>
      <c r="C26" s="73">
        <v>100</v>
      </c>
      <c r="D26" s="73">
        <v>100</v>
      </c>
      <c r="E26" s="73">
        <v>100</v>
      </c>
      <c r="F26" s="73">
        <v>100</v>
      </c>
      <c r="G26" s="73">
        <v>100</v>
      </c>
      <c r="H26" s="73">
        <v>100</v>
      </c>
      <c r="I26" s="209"/>
      <c r="J26" s="126"/>
    </row>
    <row r="27" spans="1:10">
      <c r="A27" s="91" t="s">
        <v>938</v>
      </c>
      <c r="B27" s="124" t="s">
        <v>1241</v>
      </c>
      <c r="C27" s="124" t="s">
        <v>1241</v>
      </c>
      <c r="D27" s="124" t="s">
        <v>1241</v>
      </c>
      <c r="E27" s="124" t="s">
        <v>1241</v>
      </c>
      <c r="F27" s="124" t="s">
        <v>1241</v>
      </c>
      <c r="G27" s="124" t="s">
        <v>1241</v>
      </c>
      <c r="H27" s="124" t="s">
        <v>1241</v>
      </c>
      <c r="I27" s="209"/>
      <c r="J27" s="9"/>
    </row>
    <row r="28" spans="1:10">
      <c r="A28" s="91" t="s">
        <v>940</v>
      </c>
      <c r="B28" s="88" t="s">
        <v>1242</v>
      </c>
      <c r="C28" s="73" t="s">
        <v>1242</v>
      </c>
      <c r="D28" s="73" t="s">
        <v>1242</v>
      </c>
      <c r="E28" s="73" t="s">
        <v>1242</v>
      </c>
      <c r="F28" s="73" t="s">
        <v>1242</v>
      </c>
      <c r="G28" s="73" t="s">
        <v>1242</v>
      </c>
      <c r="H28" s="73" t="s">
        <v>1242</v>
      </c>
      <c r="I28" s="209"/>
      <c r="J28" s="9"/>
    </row>
    <row r="29" spans="1:10" ht="14.65" thickBot="1">
      <c r="A29" s="92" t="s">
        <v>611</v>
      </c>
      <c r="B29" s="89">
        <v>30</v>
      </c>
      <c r="C29" s="75">
        <v>30</v>
      </c>
      <c r="D29" s="75">
        <v>30</v>
      </c>
      <c r="E29" s="75">
        <v>30</v>
      </c>
      <c r="F29" s="75">
        <v>30</v>
      </c>
      <c r="G29" s="75">
        <v>30</v>
      </c>
      <c r="H29" s="75">
        <v>30</v>
      </c>
      <c r="I29" s="222"/>
      <c r="J29" s="13"/>
    </row>
    <row r="30" spans="1:10" ht="14.65" thickBot="1"/>
    <row r="31" spans="1:10" ht="28.9" thickBot="1">
      <c r="A31" s="115" t="s">
        <v>1243</v>
      </c>
      <c r="B31" s="86">
        <v>2020</v>
      </c>
      <c r="C31" s="80">
        <v>2025</v>
      </c>
      <c r="D31" s="80">
        <v>2030</v>
      </c>
      <c r="E31" s="80">
        <v>2035</v>
      </c>
      <c r="F31" s="80">
        <v>2040</v>
      </c>
      <c r="G31" s="80">
        <v>2045</v>
      </c>
      <c r="H31" s="80">
        <v>2050</v>
      </c>
      <c r="I31" s="107" t="s">
        <v>567</v>
      </c>
      <c r="J31" s="82" t="s">
        <v>568</v>
      </c>
    </row>
    <row r="32" spans="1:10" ht="103.9" customHeight="1">
      <c r="A32" s="111" t="s">
        <v>946</v>
      </c>
      <c r="B32" s="87">
        <v>67.263999999999996</v>
      </c>
      <c r="C32" s="78">
        <v>67.263999999999996</v>
      </c>
      <c r="D32" s="78">
        <v>67.263999999999996</v>
      </c>
      <c r="E32" s="78">
        <v>67.263999999999996</v>
      </c>
      <c r="F32" s="78">
        <v>67.263999999999996</v>
      </c>
      <c r="G32" s="78">
        <v>67.263999999999996</v>
      </c>
      <c r="H32" s="78">
        <v>67.263999999999996</v>
      </c>
      <c r="I32" s="209" t="s">
        <v>1244</v>
      </c>
      <c r="J32" s="98" t="s">
        <v>1245</v>
      </c>
    </row>
    <row r="33" spans="1:10" ht="28.5">
      <c r="A33" s="108" t="s">
        <v>1233</v>
      </c>
      <c r="B33" s="88">
        <v>0</v>
      </c>
      <c r="C33" s="73">
        <v>0</v>
      </c>
      <c r="D33" s="73">
        <v>0</v>
      </c>
      <c r="E33" s="73">
        <v>0</v>
      </c>
      <c r="F33" s="73">
        <v>0</v>
      </c>
      <c r="G33" s="73">
        <v>0</v>
      </c>
      <c r="H33" s="73">
        <v>0</v>
      </c>
      <c r="I33" s="209"/>
      <c r="J33" s="99"/>
    </row>
    <row r="34" spans="1:10">
      <c r="A34" s="91" t="s">
        <v>955</v>
      </c>
      <c r="B34" s="88">
        <v>0</v>
      </c>
      <c r="C34" s="73">
        <v>0</v>
      </c>
      <c r="D34" s="73">
        <v>0</v>
      </c>
      <c r="E34" s="73">
        <v>0</v>
      </c>
      <c r="F34" s="73">
        <v>0</v>
      </c>
      <c r="G34" s="73">
        <v>0</v>
      </c>
      <c r="H34" s="73">
        <v>0</v>
      </c>
      <c r="I34" s="209"/>
      <c r="J34" s="9"/>
    </row>
    <row r="35" spans="1:10">
      <c r="A35" s="91" t="s">
        <v>918</v>
      </c>
      <c r="B35" s="88">
        <v>90</v>
      </c>
      <c r="C35" s="73">
        <v>90</v>
      </c>
      <c r="D35" s="73">
        <v>90</v>
      </c>
      <c r="E35" s="73">
        <v>90</v>
      </c>
      <c r="F35" s="73">
        <v>90</v>
      </c>
      <c r="G35" s="73">
        <v>90</v>
      </c>
      <c r="H35" s="73">
        <v>90</v>
      </c>
      <c r="I35" s="209"/>
      <c r="J35" s="9"/>
    </row>
    <row r="36" spans="1:10">
      <c r="A36" s="91" t="s">
        <v>1234</v>
      </c>
      <c r="B36" s="88">
        <v>100</v>
      </c>
      <c r="C36" s="73">
        <v>100</v>
      </c>
      <c r="D36" s="73">
        <v>100</v>
      </c>
      <c r="E36" s="73">
        <v>100</v>
      </c>
      <c r="F36" s="73">
        <v>100</v>
      </c>
      <c r="G36" s="73">
        <v>100</v>
      </c>
      <c r="H36" s="73">
        <v>100</v>
      </c>
      <c r="I36" s="209"/>
      <c r="J36" s="126"/>
    </row>
    <row r="37" spans="1:10">
      <c r="A37" s="91" t="s">
        <v>938</v>
      </c>
      <c r="B37" s="124" t="s">
        <v>1241</v>
      </c>
      <c r="C37" s="117" t="s">
        <v>1241</v>
      </c>
      <c r="D37" s="117" t="s">
        <v>1241</v>
      </c>
      <c r="E37" s="117" t="s">
        <v>1241</v>
      </c>
      <c r="F37" s="117" t="s">
        <v>1241</v>
      </c>
      <c r="G37" s="117" t="s">
        <v>1241</v>
      </c>
      <c r="H37" s="117" t="s">
        <v>1241</v>
      </c>
      <c r="I37" s="209"/>
      <c r="J37" s="9"/>
    </row>
    <row r="38" spans="1:10">
      <c r="A38" s="91" t="s">
        <v>940</v>
      </c>
      <c r="B38" s="88" t="s">
        <v>941</v>
      </c>
      <c r="C38" s="73" t="s">
        <v>941</v>
      </c>
      <c r="D38" s="73" t="s">
        <v>941</v>
      </c>
      <c r="E38" s="73" t="s">
        <v>941</v>
      </c>
      <c r="F38" s="73" t="s">
        <v>941</v>
      </c>
      <c r="G38" s="73" t="s">
        <v>941</v>
      </c>
      <c r="H38" s="73" t="s">
        <v>941</v>
      </c>
      <c r="I38" s="209"/>
      <c r="J38" s="9"/>
    </row>
    <row r="39" spans="1:10" ht="14.65" thickBot="1">
      <c r="A39" s="92" t="s">
        <v>611</v>
      </c>
      <c r="B39" s="89">
        <v>30</v>
      </c>
      <c r="C39" s="75">
        <v>30</v>
      </c>
      <c r="D39" s="75">
        <v>30</v>
      </c>
      <c r="E39" s="75">
        <v>30</v>
      </c>
      <c r="F39" s="75">
        <v>30</v>
      </c>
      <c r="G39" s="75">
        <v>30</v>
      </c>
      <c r="H39" s="75">
        <v>30</v>
      </c>
      <c r="I39" s="222"/>
      <c r="J39" s="13"/>
    </row>
  </sheetData>
  <mergeCells count="4">
    <mergeCell ref="I2:I9"/>
    <mergeCell ref="I12:I19"/>
    <mergeCell ref="I22:I29"/>
    <mergeCell ref="I32:I39"/>
  </mergeCells>
  <phoneticPr fontId="2" type="noConversion"/>
  <hyperlinks>
    <hyperlink ref="I12" r:id="rId1" display="https://www.mdpi.com/1996-1073/13/23/6173" xr:uid="{85537897-B79E-415A-A188-6B4FE952CA94}"/>
    <hyperlink ref="I22" r:id="rId2" display="https://bura.brunel.ac.uk/bitstream/2438/20551/1/FullText.pdf" xr:uid="{E8CEDFAC-1080-4C81-A44F-BA8A9E248DBA}"/>
    <hyperlink ref="I32" r:id="rId3" display="https://aip.scitation.org/doi/pdf/10.1063/1.4984433" xr:uid="{0A02C68F-C4A9-496D-B9B6-34BC470A274E}"/>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3BA52-40C6-4672-B229-AAD4A7DE770D}">
  <sheetPr codeName="Hoja17"/>
  <dimension ref="A1:J45"/>
  <sheetViews>
    <sheetView workbookViewId="0">
      <selection activeCell="B24" sqref="B24"/>
    </sheetView>
  </sheetViews>
  <sheetFormatPr defaultColWidth="11.42578125" defaultRowHeight="14.25"/>
  <cols>
    <col min="1" max="1" width="34" bestFit="1" customWidth="1"/>
    <col min="9" max="9" width="11.5703125" style="32"/>
    <col min="10" max="10" width="39.42578125" customWidth="1"/>
  </cols>
  <sheetData>
    <row r="1" spans="1:10" ht="14.65" thickBot="1">
      <c r="A1" s="115" t="s">
        <v>363</v>
      </c>
      <c r="B1" s="86">
        <v>2020</v>
      </c>
      <c r="C1" s="80">
        <v>2025</v>
      </c>
      <c r="D1" s="80">
        <v>2030</v>
      </c>
      <c r="E1" s="80">
        <v>2035</v>
      </c>
      <c r="F1" s="80">
        <v>2040</v>
      </c>
      <c r="G1" s="80">
        <v>2045</v>
      </c>
      <c r="H1" s="80">
        <v>2050</v>
      </c>
      <c r="I1" s="107" t="s">
        <v>567</v>
      </c>
      <c r="J1" s="82" t="s">
        <v>568</v>
      </c>
    </row>
    <row r="2" spans="1:10">
      <c r="A2" s="90" t="s">
        <v>1246</v>
      </c>
      <c r="B2" s="127">
        <v>485</v>
      </c>
      <c r="C2" s="128">
        <v>485</v>
      </c>
      <c r="D2" s="128">
        <v>485</v>
      </c>
      <c r="E2" s="128">
        <v>485</v>
      </c>
      <c r="F2" s="128">
        <v>485</v>
      </c>
      <c r="G2" s="128">
        <v>485</v>
      </c>
      <c r="H2" s="128">
        <v>485</v>
      </c>
      <c r="I2" s="241" t="s">
        <v>628</v>
      </c>
      <c r="J2" s="83"/>
    </row>
    <row r="3" spans="1:10">
      <c r="A3" s="91" t="s">
        <v>1247</v>
      </c>
      <c r="B3" s="88">
        <v>4.8499999999999996</v>
      </c>
      <c r="C3" s="73">
        <v>4.8499999999999996</v>
      </c>
      <c r="D3" s="73">
        <v>4.8499999999999996</v>
      </c>
      <c r="E3" s="73">
        <v>4.8499999999999996</v>
      </c>
      <c r="F3" s="73">
        <v>4.8499999999999996</v>
      </c>
      <c r="G3" s="73">
        <v>4.8499999999999996</v>
      </c>
      <c r="H3" s="73">
        <v>4.8499999999999996</v>
      </c>
      <c r="I3" s="242"/>
      <c r="J3" s="9"/>
    </row>
    <row r="4" spans="1:10">
      <c r="A4" s="91" t="s">
        <v>955</v>
      </c>
      <c r="B4" s="88">
        <v>0</v>
      </c>
      <c r="C4" s="73">
        <v>0</v>
      </c>
      <c r="D4" s="73">
        <v>0</v>
      </c>
      <c r="E4" s="73">
        <v>0</v>
      </c>
      <c r="F4" s="73">
        <v>0</v>
      </c>
      <c r="G4" s="73">
        <v>0</v>
      </c>
      <c r="H4" s="73">
        <v>0</v>
      </c>
      <c r="I4" s="242"/>
      <c r="J4" s="9"/>
    </row>
    <row r="5" spans="1:10" ht="14.65" thickBot="1">
      <c r="A5" s="92" t="s">
        <v>611</v>
      </c>
      <c r="B5" s="130">
        <v>15</v>
      </c>
      <c r="C5" s="131">
        <v>15</v>
      </c>
      <c r="D5" s="131">
        <v>15</v>
      </c>
      <c r="E5" s="131">
        <v>15</v>
      </c>
      <c r="F5" s="131">
        <v>15</v>
      </c>
      <c r="G5" s="131">
        <v>15</v>
      </c>
      <c r="H5" s="131">
        <v>15</v>
      </c>
      <c r="I5" s="243"/>
      <c r="J5" s="13"/>
    </row>
    <row r="6" spans="1:10" ht="14.65" thickBot="1"/>
    <row r="7" spans="1:10" ht="14.65" thickBot="1">
      <c r="A7" s="115" t="s">
        <v>367</v>
      </c>
      <c r="B7" s="86">
        <v>2020</v>
      </c>
      <c r="C7" s="80">
        <v>2025</v>
      </c>
      <c r="D7" s="80">
        <v>2030</v>
      </c>
      <c r="E7" s="80">
        <v>2035</v>
      </c>
      <c r="F7" s="80">
        <v>2040</v>
      </c>
      <c r="G7" s="80">
        <v>2045</v>
      </c>
      <c r="H7" s="80">
        <v>2050</v>
      </c>
      <c r="I7" s="107" t="s">
        <v>567</v>
      </c>
      <c r="J7" s="82" t="s">
        <v>568</v>
      </c>
    </row>
    <row r="8" spans="1:10">
      <c r="A8" s="111" t="s">
        <v>946</v>
      </c>
      <c r="B8" s="87">
        <v>100</v>
      </c>
      <c r="C8" s="78">
        <v>100</v>
      </c>
      <c r="D8" s="78">
        <v>100</v>
      </c>
      <c r="E8" s="78">
        <v>100</v>
      </c>
      <c r="F8" s="78">
        <v>100</v>
      </c>
      <c r="G8" s="78">
        <v>100</v>
      </c>
      <c r="H8" s="78">
        <v>100</v>
      </c>
      <c r="I8" s="238" t="s">
        <v>628</v>
      </c>
      <c r="J8" s="83"/>
    </row>
    <row r="9" spans="1:10" ht="28.5">
      <c r="A9" s="108" t="s">
        <v>1233</v>
      </c>
      <c r="B9" s="88" t="s">
        <v>1248</v>
      </c>
      <c r="C9" s="73" t="s">
        <v>1248</v>
      </c>
      <c r="D9" s="73" t="s">
        <v>1248</v>
      </c>
      <c r="E9" s="73" t="s">
        <v>1248</v>
      </c>
      <c r="F9" s="73" t="s">
        <v>1248</v>
      </c>
      <c r="G9" s="73" t="s">
        <v>1248</v>
      </c>
      <c r="H9" s="73" t="s">
        <v>1248</v>
      </c>
      <c r="I9" s="239"/>
      <c r="J9" s="99"/>
    </row>
    <row r="10" spans="1:10">
      <c r="A10" s="91" t="s">
        <v>955</v>
      </c>
      <c r="B10" s="88">
        <v>1E-3</v>
      </c>
      <c r="C10" s="73">
        <v>1E-3</v>
      </c>
      <c r="D10" s="73">
        <v>1E-3</v>
      </c>
      <c r="E10" s="73">
        <v>1E-3</v>
      </c>
      <c r="F10" s="73">
        <v>1E-3</v>
      </c>
      <c r="G10" s="73">
        <v>1E-3</v>
      </c>
      <c r="H10" s="73">
        <v>1E-3</v>
      </c>
      <c r="I10" s="239"/>
      <c r="J10" s="9"/>
    </row>
    <row r="11" spans="1:10">
      <c r="A11" s="91" t="s">
        <v>918</v>
      </c>
      <c r="B11" s="88">
        <v>100</v>
      </c>
      <c r="C11" s="73">
        <v>100</v>
      </c>
      <c r="D11" s="73">
        <v>100</v>
      </c>
      <c r="E11" s="73">
        <v>100</v>
      </c>
      <c r="F11" s="73">
        <v>100</v>
      </c>
      <c r="G11" s="73">
        <v>100</v>
      </c>
      <c r="H11" s="73">
        <v>100</v>
      </c>
      <c r="I11" s="242" t="s">
        <v>1249</v>
      </c>
      <c r="J11" s="9"/>
    </row>
    <row r="12" spans="1:10" ht="14.65" thickBot="1">
      <c r="A12" s="92" t="s">
        <v>611</v>
      </c>
      <c r="B12" s="89">
        <v>20</v>
      </c>
      <c r="C12" s="75">
        <v>20</v>
      </c>
      <c r="D12" s="75">
        <v>20</v>
      </c>
      <c r="E12" s="75">
        <v>20</v>
      </c>
      <c r="F12" s="75">
        <v>20</v>
      </c>
      <c r="G12" s="75">
        <v>20</v>
      </c>
      <c r="H12" s="75">
        <v>20</v>
      </c>
      <c r="I12" s="243"/>
      <c r="J12" s="13"/>
    </row>
    <row r="13" spans="1:10" ht="14.65" thickBot="1"/>
    <row r="14" spans="1:10" ht="14.65" thickBot="1">
      <c r="A14" s="115" t="s">
        <v>369</v>
      </c>
      <c r="B14" s="86">
        <v>2020</v>
      </c>
      <c r="C14" s="80">
        <v>2025</v>
      </c>
      <c r="D14" s="80">
        <v>2030</v>
      </c>
      <c r="E14" s="80">
        <v>2035</v>
      </c>
      <c r="F14" s="80">
        <v>2040</v>
      </c>
      <c r="G14" s="80">
        <v>2045</v>
      </c>
      <c r="H14" s="80">
        <v>2050</v>
      </c>
      <c r="I14" s="107" t="s">
        <v>567</v>
      </c>
      <c r="J14" s="82" t="s">
        <v>568</v>
      </c>
    </row>
    <row r="15" spans="1:10">
      <c r="A15" s="111" t="s">
        <v>946</v>
      </c>
      <c r="B15" s="87">
        <v>780</v>
      </c>
      <c r="C15" s="78">
        <v>750</v>
      </c>
      <c r="D15" s="78">
        <v>730</v>
      </c>
      <c r="E15" s="78">
        <v>706</v>
      </c>
      <c r="F15" s="78">
        <v>690</v>
      </c>
      <c r="G15" s="78">
        <v>666</v>
      </c>
      <c r="H15" s="78">
        <v>650</v>
      </c>
      <c r="I15" s="238" t="s">
        <v>628</v>
      </c>
      <c r="J15" s="83"/>
    </row>
    <row r="16" spans="1:10" ht="28.5">
      <c r="A16" s="108" t="s">
        <v>1233</v>
      </c>
      <c r="B16" s="88" t="s">
        <v>1250</v>
      </c>
      <c r="C16" s="73" t="s">
        <v>1251</v>
      </c>
      <c r="D16" s="73" t="s">
        <v>1252</v>
      </c>
      <c r="E16" s="73" t="s">
        <v>1253</v>
      </c>
      <c r="F16" s="73" t="s">
        <v>1254</v>
      </c>
      <c r="G16" s="73" t="s">
        <v>1255</v>
      </c>
      <c r="H16" s="73" t="s">
        <v>1256</v>
      </c>
      <c r="I16" s="239"/>
      <c r="J16" s="99"/>
    </row>
    <row r="17" spans="1:10">
      <c r="A17" s="91" t="s">
        <v>955</v>
      </c>
      <c r="B17" s="88">
        <v>0</v>
      </c>
      <c r="C17" s="73">
        <v>0</v>
      </c>
      <c r="D17" s="73">
        <v>0</v>
      </c>
      <c r="E17" s="73">
        <v>0</v>
      </c>
      <c r="F17" s="73">
        <v>0</v>
      </c>
      <c r="G17" s="73">
        <v>0</v>
      </c>
      <c r="H17" s="73">
        <v>0</v>
      </c>
      <c r="I17" s="239"/>
      <c r="J17" s="9"/>
    </row>
    <row r="18" spans="1:10">
      <c r="A18" s="91" t="s">
        <v>918</v>
      </c>
      <c r="B18" s="88">
        <v>600</v>
      </c>
      <c r="C18" s="73">
        <v>650</v>
      </c>
      <c r="D18" s="73">
        <v>700</v>
      </c>
      <c r="E18" s="73">
        <v>700</v>
      </c>
      <c r="F18" s="73">
        <v>700</v>
      </c>
      <c r="G18" s="73">
        <v>730</v>
      </c>
      <c r="H18" s="73">
        <v>750</v>
      </c>
      <c r="I18" s="242" t="s">
        <v>916</v>
      </c>
      <c r="J18" s="9"/>
    </row>
    <row r="19" spans="1:10" ht="14.65" thickBot="1">
      <c r="A19" s="92" t="s">
        <v>611</v>
      </c>
      <c r="B19" s="89">
        <v>20</v>
      </c>
      <c r="C19" s="75">
        <v>20</v>
      </c>
      <c r="D19" s="75">
        <v>20</v>
      </c>
      <c r="E19" s="75">
        <v>20</v>
      </c>
      <c r="F19" s="75">
        <v>20</v>
      </c>
      <c r="G19" s="75">
        <v>20</v>
      </c>
      <c r="H19" s="75">
        <v>20</v>
      </c>
      <c r="I19" s="243"/>
      <c r="J19" s="13"/>
    </row>
    <row r="20" spans="1:10" ht="14.65" thickBot="1"/>
    <row r="21" spans="1:10" ht="14.65" thickBot="1">
      <c r="A21" s="115" t="s">
        <v>371</v>
      </c>
      <c r="B21" s="86">
        <v>2020</v>
      </c>
      <c r="C21" s="80">
        <v>2025</v>
      </c>
      <c r="D21" s="80">
        <v>2030</v>
      </c>
      <c r="E21" s="80">
        <v>2035</v>
      </c>
      <c r="F21" s="80">
        <v>2040</v>
      </c>
      <c r="G21" s="80">
        <v>2045</v>
      </c>
      <c r="H21" s="80">
        <v>2050</v>
      </c>
      <c r="I21" s="107" t="s">
        <v>567</v>
      </c>
      <c r="J21" s="82" t="s">
        <v>568</v>
      </c>
    </row>
    <row r="22" spans="1:10">
      <c r="A22" s="111" t="s">
        <v>946</v>
      </c>
      <c r="B22" s="87">
        <v>800</v>
      </c>
      <c r="C22" s="78">
        <v>800</v>
      </c>
      <c r="D22" s="78">
        <v>800</v>
      </c>
      <c r="E22" s="78">
        <v>800</v>
      </c>
      <c r="F22" s="78">
        <v>800</v>
      </c>
      <c r="G22" s="78">
        <v>800</v>
      </c>
      <c r="H22" s="78">
        <v>800</v>
      </c>
      <c r="I22" s="238" t="s">
        <v>628</v>
      </c>
      <c r="J22" s="83"/>
    </row>
    <row r="23" spans="1:10">
      <c r="A23" s="108" t="s">
        <v>1247</v>
      </c>
      <c r="B23" s="88">
        <v>27</v>
      </c>
      <c r="C23" s="73">
        <v>27</v>
      </c>
      <c r="D23" s="73">
        <v>27</v>
      </c>
      <c r="E23" s="73">
        <v>27</v>
      </c>
      <c r="F23" s="73">
        <v>27</v>
      </c>
      <c r="G23" s="73">
        <v>27</v>
      </c>
      <c r="H23" s="73">
        <v>27</v>
      </c>
      <c r="I23" s="239"/>
      <c r="J23" s="99"/>
    </row>
    <row r="24" spans="1:10">
      <c r="A24" s="91" t="s">
        <v>955</v>
      </c>
      <c r="B24" s="88">
        <v>0</v>
      </c>
      <c r="C24" s="73">
        <v>0</v>
      </c>
      <c r="D24" s="73">
        <v>0</v>
      </c>
      <c r="E24" s="73">
        <v>0</v>
      </c>
      <c r="F24" s="73">
        <v>0</v>
      </c>
      <c r="G24" s="73">
        <v>0</v>
      </c>
      <c r="H24" s="73">
        <v>0</v>
      </c>
      <c r="I24" s="239"/>
      <c r="J24" s="9"/>
    </row>
    <row r="25" spans="1:10">
      <c r="A25" s="91" t="s">
        <v>918</v>
      </c>
      <c r="B25" s="88">
        <v>95</v>
      </c>
      <c r="C25" s="73">
        <v>95</v>
      </c>
      <c r="D25" s="73">
        <v>95</v>
      </c>
      <c r="E25" s="73">
        <v>95</v>
      </c>
      <c r="F25" s="73">
        <v>95</v>
      </c>
      <c r="G25" s="73">
        <v>95</v>
      </c>
      <c r="H25" s="73">
        <v>95</v>
      </c>
      <c r="I25" s="242" t="s">
        <v>916</v>
      </c>
      <c r="J25" s="9"/>
    </row>
    <row r="26" spans="1:10">
      <c r="A26" s="91" t="s">
        <v>1257</v>
      </c>
      <c r="B26" s="88">
        <v>7.5730000000000006E-2</v>
      </c>
      <c r="C26" s="73">
        <v>7.5730000000000006E-2</v>
      </c>
      <c r="D26" s="73">
        <v>7.5730000000000006E-2</v>
      </c>
      <c r="E26" s="73">
        <v>7.5730000000000006E-2</v>
      </c>
      <c r="F26" s="73">
        <v>7.5730000000000006E-2</v>
      </c>
      <c r="G26" s="73">
        <v>7.5730000000000006E-2</v>
      </c>
      <c r="H26" s="73">
        <v>7.5730000000000006E-2</v>
      </c>
      <c r="I26" s="242"/>
      <c r="J26" s="9" t="s">
        <v>1162</v>
      </c>
    </row>
    <row r="27" spans="1:10" ht="14.65" thickBot="1">
      <c r="A27" s="92" t="s">
        <v>611</v>
      </c>
      <c r="B27" s="89">
        <v>22</v>
      </c>
      <c r="C27" s="75">
        <v>22</v>
      </c>
      <c r="D27" s="75">
        <v>22</v>
      </c>
      <c r="E27" s="75">
        <v>22</v>
      </c>
      <c r="F27" s="75">
        <v>22</v>
      </c>
      <c r="G27" s="75">
        <v>22</v>
      </c>
      <c r="H27" s="75">
        <v>22</v>
      </c>
      <c r="I27" s="243"/>
      <c r="J27" s="13"/>
    </row>
    <row r="28" spans="1:10" ht="14.65" thickBot="1"/>
    <row r="29" spans="1:10" ht="14.65" thickBot="1">
      <c r="A29" s="115" t="s">
        <v>1258</v>
      </c>
      <c r="B29" s="86">
        <v>2020</v>
      </c>
      <c r="C29" s="80">
        <v>2025</v>
      </c>
      <c r="D29" s="80">
        <v>2030</v>
      </c>
      <c r="E29" s="80">
        <v>2035</v>
      </c>
      <c r="F29" s="80">
        <v>2040</v>
      </c>
      <c r="G29" s="80">
        <v>2045</v>
      </c>
      <c r="H29" s="80">
        <v>2050</v>
      </c>
      <c r="I29" s="107" t="s">
        <v>567</v>
      </c>
      <c r="J29" s="82" t="s">
        <v>568</v>
      </c>
    </row>
    <row r="30" spans="1:10">
      <c r="A30" s="90" t="s">
        <v>969</v>
      </c>
      <c r="B30" s="87">
        <v>5.7</v>
      </c>
      <c r="C30" s="78">
        <v>5.7</v>
      </c>
      <c r="D30" s="78">
        <v>5.7</v>
      </c>
      <c r="E30" s="78">
        <v>5.7</v>
      </c>
      <c r="F30" s="78">
        <v>5.7</v>
      </c>
      <c r="G30" s="78">
        <v>5.7</v>
      </c>
      <c r="H30" s="78">
        <v>5.7</v>
      </c>
      <c r="I30" s="238" t="s">
        <v>1232</v>
      </c>
      <c r="J30" s="103"/>
    </row>
    <row r="31" spans="1:10" ht="28.5">
      <c r="A31" s="108" t="s">
        <v>1259</v>
      </c>
      <c r="B31" s="88" t="s">
        <v>1260</v>
      </c>
      <c r="C31" s="73" t="s">
        <v>1260</v>
      </c>
      <c r="D31" s="73" t="s">
        <v>1260</v>
      </c>
      <c r="E31" s="73" t="s">
        <v>1260</v>
      </c>
      <c r="F31" s="73" t="s">
        <v>1260</v>
      </c>
      <c r="G31" s="73" t="s">
        <v>1260</v>
      </c>
      <c r="H31" s="73" t="s">
        <v>1260</v>
      </c>
      <c r="I31" s="239"/>
      <c r="J31" s="9"/>
    </row>
    <row r="32" spans="1:10">
      <c r="A32" s="91" t="s">
        <v>955</v>
      </c>
      <c r="B32" s="88">
        <v>0</v>
      </c>
      <c r="C32" s="73">
        <v>0</v>
      </c>
      <c r="D32" s="73">
        <v>0</v>
      </c>
      <c r="E32" s="73">
        <v>0</v>
      </c>
      <c r="F32" s="73">
        <v>0</v>
      </c>
      <c r="G32" s="73">
        <v>0</v>
      </c>
      <c r="H32" s="73">
        <v>0</v>
      </c>
      <c r="I32" s="239"/>
      <c r="J32" s="9"/>
    </row>
    <row r="33" spans="1:10">
      <c r="A33" s="91" t="s">
        <v>914</v>
      </c>
      <c r="B33" s="88" t="s">
        <v>1261</v>
      </c>
      <c r="C33" s="73" t="s">
        <v>1261</v>
      </c>
      <c r="D33" s="73" t="s">
        <v>1261</v>
      </c>
      <c r="E33" s="73" t="s">
        <v>1261</v>
      </c>
      <c r="F33" s="73" t="s">
        <v>1261</v>
      </c>
      <c r="G33" s="73" t="s">
        <v>1261</v>
      </c>
      <c r="H33" s="73" t="s">
        <v>1261</v>
      </c>
      <c r="I33" s="239"/>
      <c r="J33" s="126" t="s">
        <v>1262</v>
      </c>
    </row>
    <row r="34" spans="1:10">
      <c r="A34" s="91" t="s">
        <v>980</v>
      </c>
      <c r="B34" s="88" t="s">
        <v>651</v>
      </c>
      <c r="C34" s="73" t="s">
        <v>651</v>
      </c>
      <c r="D34" s="73" t="s">
        <v>651</v>
      </c>
      <c r="E34" s="73" t="s">
        <v>651</v>
      </c>
      <c r="F34" s="73" t="s">
        <v>651</v>
      </c>
      <c r="G34" s="73" t="s">
        <v>651</v>
      </c>
      <c r="H34" s="73" t="s">
        <v>651</v>
      </c>
      <c r="I34" s="239"/>
      <c r="J34" s="99"/>
    </row>
    <row r="35" spans="1:10">
      <c r="A35" s="91" t="s">
        <v>918</v>
      </c>
      <c r="B35" s="88">
        <v>90</v>
      </c>
      <c r="C35" s="73">
        <v>90</v>
      </c>
      <c r="D35" s="73">
        <v>90</v>
      </c>
      <c r="E35" s="73">
        <v>90</v>
      </c>
      <c r="F35" s="73">
        <v>90</v>
      </c>
      <c r="G35" s="73">
        <v>90</v>
      </c>
      <c r="H35" s="73">
        <v>90</v>
      </c>
      <c r="I35" s="239"/>
      <c r="J35" s="126" t="s">
        <v>1262</v>
      </c>
    </row>
    <row r="36" spans="1:10">
      <c r="A36" s="91" t="s">
        <v>984</v>
      </c>
      <c r="B36" s="88">
        <v>10000000</v>
      </c>
      <c r="C36" s="73">
        <v>10000000</v>
      </c>
      <c r="D36" s="73">
        <v>10000000</v>
      </c>
      <c r="E36" s="73">
        <v>10000000</v>
      </c>
      <c r="F36" s="73">
        <v>10000000</v>
      </c>
      <c r="G36" s="73">
        <v>10000000</v>
      </c>
      <c r="H36" s="73">
        <v>10000000</v>
      </c>
      <c r="I36" s="239"/>
      <c r="J36" s="9" t="s">
        <v>985</v>
      </c>
    </row>
    <row r="37" spans="1:10">
      <c r="A37" s="91" t="s">
        <v>850</v>
      </c>
      <c r="B37" s="88">
        <v>100</v>
      </c>
      <c r="C37" s="73">
        <v>100</v>
      </c>
      <c r="D37" s="73">
        <v>100</v>
      </c>
      <c r="E37" s="73">
        <v>100</v>
      </c>
      <c r="F37" s="73">
        <v>100</v>
      </c>
      <c r="G37" s="73">
        <v>100</v>
      </c>
      <c r="H37" s="73">
        <v>100</v>
      </c>
      <c r="I37" s="239"/>
      <c r="J37" s="99"/>
    </row>
    <row r="38" spans="1:10">
      <c r="A38" s="91" t="s">
        <v>640</v>
      </c>
      <c r="B38" s="88">
        <v>0</v>
      </c>
      <c r="C38" s="73">
        <v>0</v>
      </c>
      <c r="D38" s="73">
        <v>0</v>
      </c>
      <c r="E38" s="73">
        <v>0</v>
      </c>
      <c r="F38" s="73">
        <v>0</v>
      </c>
      <c r="G38" s="73">
        <v>0</v>
      </c>
      <c r="H38" s="73">
        <v>0</v>
      </c>
      <c r="I38" s="239"/>
      <c r="J38" s="9"/>
    </row>
    <row r="39" spans="1:10" ht="14.65" thickBot="1">
      <c r="A39" s="92" t="s">
        <v>611</v>
      </c>
      <c r="B39" s="89">
        <v>30</v>
      </c>
      <c r="C39" s="75">
        <v>30</v>
      </c>
      <c r="D39" s="75">
        <v>30</v>
      </c>
      <c r="E39" s="75">
        <v>30</v>
      </c>
      <c r="F39" s="75">
        <v>30</v>
      </c>
      <c r="G39" s="75">
        <v>30</v>
      </c>
      <c r="H39" s="75">
        <v>30</v>
      </c>
      <c r="I39" s="240"/>
      <c r="J39" s="13"/>
    </row>
    <row r="40" spans="1:10" ht="14.65" thickBot="1"/>
    <row r="41" spans="1:10" ht="28.9" thickBot="1">
      <c r="A41" s="115" t="s">
        <v>1263</v>
      </c>
      <c r="B41" s="86">
        <v>2020</v>
      </c>
      <c r="C41" s="80">
        <v>2025</v>
      </c>
      <c r="D41" s="80">
        <v>2030</v>
      </c>
      <c r="E41" s="80">
        <v>2035</v>
      </c>
      <c r="F41" s="80">
        <v>2040</v>
      </c>
      <c r="G41" s="80">
        <v>2045</v>
      </c>
      <c r="H41" s="80">
        <v>2050</v>
      </c>
      <c r="I41" s="107" t="s">
        <v>567</v>
      </c>
      <c r="J41" s="82" t="s">
        <v>568</v>
      </c>
    </row>
    <row r="42" spans="1:10" ht="15.6" customHeight="1">
      <c r="A42" s="119" t="s">
        <v>946</v>
      </c>
      <c r="B42" s="87">
        <v>0</v>
      </c>
      <c r="C42" s="78">
        <v>0</v>
      </c>
      <c r="D42" s="78">
        <v>0</v>
      </c>
      <c r="E42" s="78">
        <v>0</v>
      </c>
      <c r="F42" s="78">
        <v>0</v>
      </c>
      <c r="G42" s="78">
        <v>0</v>
      </c>
      <c r="H42" s="78">
        <v>0</v>
      </c>
      <c r="I42" s="79"/>
      <c r="J42" s="98"/>
    </row>
    <row r="43" spans="1:10" ht="28.5">
      <c r="A43" s="108" t="s">
        <v>1233</v>
      </c>
      <c r="B43" s="88">
        <v>0</v>
      </c>
      <c r="C43" s="73">
        <v>0</v>
      </c>
      <c r="D43" s="73">
        <v>0</v>
      </c>
      <c r="E43" s="73">
        <v>0</v>
      </c>
      <c r="F43" s="73">
        <v>0</v>
      </c>
      <c r="G43" s="73">
        <v>0</v>
      </c>
      <c r="H43" s="73">
        <v>0</v>
      </c>
      <c r="I43" s="94"/>
      <c r="J43" s="99"/>
    </row>
    <row r="44" spans="1:10">
      <c r="A44" s="91" t="s">
        <v>955</v>
      </c>
      <c r="B44" s="88">
        <v>0</v>
      </c>
      <c r="C44" s="73">
        <v>0</v>
      </c>
      <c r="D44" s="73">
        <v>0</v>
      </c>
      <c r="E44" s="73">
        <v>0</v>
      </c>
      <c r="F44" s="73">
        <v>0</v>
      </c>
      <c r="G44" s="73">
        <v>0</v>
      </c>
      <c r="H44" s="73">
        <v>0</v>
      </c>
      <c r="I44" s="94"/>
      <c r="J44" s="9"/>
    </row>
    <row r="45" spans="1:10" ht="14.65" thickBot="1">
      <c r="A45" s="92" t="s">
        <v>611</v>
      </c>
      <c r="B45" s="89">
        <v>50</v>
      </c>
      <c r="C45" s="75">
        <v>50</v>
      </c>
      <c r="D45" s="75">
        <v>50</v>
      </c>
      <c r="E45" s="75">
        <v>50</v>
      </c>
      <c r="F45" s="75">
        <v>50</v>
      </c>
      <c r="G45" s="75">
        <v>50</v>
      </c>
      <c r="H45" s="75">
        <v>50</v>
      </c>
      <c r="I45" s="84"/>
      <c r="J45" s="13"/>
    </row>
  </sheetData>
  <mergeCells count="8">
    <mergeCell ref="I30:I39"/>
    <mergeCell ref="I2:I5"/>
    <mergeCell ref="I11:I12"/>
    <mergeCell ref="I18:I19"/>
    <mergeCell ref="I25:I27"/>
    <mergeCell ref="I8:I10"/>
    <mergeCell ref="I15:I17"/>
    <mergeCell ref="I22:I24"/>
  </mergeCells>
  <phoneticPr fontId="2" type="noConversion"/>
  <hyperlinks>
    <hyperlink ref="I2" r:id="rId1" display="https://ars.els-cdn.com/content/image/1-s2.0-S1364032121008352-mmc1.pdf" xr:uid="{AAB1A028-0B9B-479E-A4E6-3B1EC4ABB733}"/>
    <hyperlink ref="I8" r:id="rId2" display="https://ars.els-cdn.com/content/image/1-s2.0-S1364032121008352-mmc1.pdf" xr:uid="{73D92105-8C29-4819-9869-05A92B397487}"/>
    <hyperlink ref="I11" r:id="rId3" display="https://ars.els-cdn.com/content/image/1-s2.0-S0959652621004157-mmc1.pdf" xr:uid="{D6B92AAF-A960-48D8-8581-EFB8F86C031E}"/>
    <hyperlink ref="I15" r:id="rId4" display="https://ars.els-cdn.com/content/image/1-s2.0-S1364032121008352-mmc1.pdf" xr:uid="{6165AAA0-9EB3-40E0-98E6-5E91405E5E9D}"/>
    <hyperlink ref="I18" r:id="rId5" display="https://ars.els-cdn.com/content/image/1-s2.0-S0360544221007167-mmc1.pdf" xr:uid="{0027AFC9-F476-4747-87F1-48C3B6311908}"/>
    <hyperlink ref="I22" r:id="rId6" display="https://ars.els-cdn.com/content/image/1-s2.0-S1364032121008352-mmc1.pdf" xr:uid="{B5DDCE01-A3B9-4E47-B5D1-753C24FAA023}"/>
    <hyperlink ref="I25" r:id="rId7" display="https://ars.els-cdn.com/content/image/1-s2.0-S0360544221007167-mmc1.pdf" xr:uid="{D6A8E950-37DB-457F-8573-F158C4CE2746}"/>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FCEB5-EC8F-4B45-B7D4-7FB1B347C856}">
  <sheetPr codeName="Hoja18"/>
  <dimension ref="A1:J39"/>
  <sheetViews>
    <sheetView topLeftCell="A22" workbookViewId="0">
      <selection activeCell="A20" sqref="A20"/>
    </sheetView>
  </sheetViews>
  <sheetFormatPr defaultColWidth="11.42578125" defaultRowHeight="14.25"/>
  <cols>
    <col min="1" max="1" width="29.5703125" bestFit="1" customWidth="1"/>
    <col min="2" max="8" width="11.7109375" bestFit="1" customWidth="1"/>
    <col min="9" max="9" width="11.5703125" style="71"/>
    <col min="10" max="10" width="44.42578125" customWidth="1"/>
  </cols>
  <sheetData>
    <row r="1" spans="1:10" ht="14.65" thickBot="1">
      <c r="A1" s="115" t="s">
        <v>373</v>
      </c>
      <c r="B1" s="86">
        <v>2020</v>
      </c>
      <c r="C1" s="80">
        <v>2025</v>
      </c>
      <c r="D1" s="80">
        <v>2030</v>
      </c>
      <c r="E1" s="80">
        <v>2035</v>
      </c>
      <c r="F1" s="80">
        <v>2040</v>
      </c>
      <c r="G1" s="80">
        <v>2045</v>
      </c>
      <c r="H1" s="80">
        <v>2050</v>
      </c>
      <c r="I1" s="81" t="s">
        <v>567</v>
      </c>
      <c r="J1" s="82" t="s">
        <v>568</v>
      </c>
    </row>
    <row r="2" spans="1:10">
      <c r="A2" s="111" t="s">
        <v>946</v>
      </c>
      <c r="B2" s="87">
        <v>100</v>
      </c>
      <c r="C2" s="78">
        <v>100</v>
      </c>
      <c r="D2" s="78">
        <v>75</v>
      </c>
      <c r="E2" s="78">
        <v>75</v>
      </c>
      <c r="F2" s="78">
        <v>75</v>
      </c>
      <c r="G2" s="78">
        <v>75</v>
      </c>
      <c r="H2" s="78">
        <v>75</v>
      </c>
      <c r="I2" s="210" t="s">
        <v>628</v>
      </c>
      <c r="J2" s="83"/>
    </row>
    <row r="3" spans="1:10">
      <c r="A3" s="108" t="s">
        <v>1247</v>
      </c>
      <c r="B3" s="88">
        <v>1.47</v>
      </c>
      <c r="C3" s="73">
        <v>1.47</v>
      </c>
      <c r="D3" s="73">
        <v>1.47</v>
      </c>
      <c r="E3" s="73">
        <v>1.47</v>
      </c>
      <c r="F3" s="73">
        <v>1.47</v>
      </c>
      <c r="G3" s="73">
        <v>1.47</v>
      </c>
      <c r="H3" s="73">
        <v>1.47</v>
      </c>
      <c r="I3" s="217"/>
      <c r="J3" s="99"/>
    </row>
    <row r="4" spans="1:10">
      <c r="A4" s="91" t="s">
        <v>955</v>
      </c>
      <c r="B4" s="88">
        <v>5.0000000000000001E-4</v>
      </c>
      <c r="C4" s="73">
        <v>5.0000000000000001E-4</v>
      </c>
      <c r="D4" s="73">
        <v>5.0000000000000001E-4</v>
      </c>
      <c r="E4" s="73">
        <v>5.0000000000000001E-4</v>
      </c>
      <c r="F4" s="73">
        <v>5.0000000000000001E-4</v>
      </c>
      <c r="G4" s="73">
        <v>5.0000000000000001E-4</v>
      </c>
      <c r="H4" s="73">
        <v>5.0000000000000001E-4</v>
      </c>
      <c r="I4" s="217"/>
      <c r="J4" s="9"/>
    </row>
    <row r="5" spans="1:10">
      <c r="A5" s="91" t="s">
        <v>918</v>
      </c>
      <c r="B5" s="88">
        <v>100</v>
      </c>
      <c r="C5" s="73">
        <v>100</v>
      </c>
      <c r="D5" s="73">
        <v>100</v>
      </c>
      <c r="E5" s="73">
        <v>100</v>
      </c>
      <c r="F5" s="73">
        <v>100</v>
      </c>
      <c r="G5" s="73">
        <v>100</v>
      </c>
      <c r="H5" s="73">
        <v>100</v>
      </c>
      <c r="I5" s="217" t="s">
        <v>1249</v>
      </c>
      <c r="J5" s="9"/>
    </row>
    <row r="6" spans="1:10" ht="14.65" thickBot="1">
      <c r="A6" s="92" t="s">
        <v>611</v>
      </c>
      <c r="B6" s="89">
        <v>35</v>
      </c>
      <c r="C6" s="75">
        <v>35</v>
      </c>
      <c r="D6" s="75">
        <v>35</v>
      </c>
      <c r="E6" s="75">
        <v>35</v>
      </c>
      <c r="F6" s="75">
        <v>35</v>
      </c>
      <c r="G6" s="75">
        <v>35</v>
      </c>
      <c r="H6" s="75">
        <v>35</v>
      </c>
      <c r="I6" s="218"/>
      <c r="J6" s="13"/>
    </row>
    <row r="7" spans="1:10" ht="14.65" thickBot="1">
      <c r="B7" s="136"/>
      <c r="C7" s="137"/>
      <c r="D7" s="137"/>
      <c r="E7" s="137"/>
      <c r="F7" s="137"/>
      <c r="G7" s="137"/>
      <c r="H7" s="137"/>
      <c r="I7" s="133"/>
      <c r="J7" s="137"/>
    </row>
    <row r="8" spans="1:10" ht="14.65" thickBot="1">
      <c r="A8" s="115" t="s">
        <v>375</v>
      </c>
      <c r="B8" s="86">
        <v>2020</v>
      </c>
      <c r="C8" s="80">
        <v>2025</v>
      </c>
      <c r="D8" s="80">
        <v>2030</v>
      </c>
      <c r="E8" s="80">
        <v>2035</v>
      </c>
      <c r="F8" s="80">
        <v>2040</v>
      </c>
      <c r="G8" s="80">
        <v>2045</v>
      </c>
      <c r="H8" s="80">
        <v>2050</v>
      </c>
      <c r="I8" s="81" t="s">
        <v>567</v>
      </c>
      <c r="J8" s="82" t="s">
        <v>568</v>
      </c>
    </row>
    <row r="9" spans="1:10">
      <c r="A9" s="111" t="s">
        <v>946</v>
      </c>
      <c r="B9" s="87">
        <v>660</v>
      </c>
      <c r="C9" s="78">
        <v>618</v>
      </c>
      <c r="D9" s="78">
        <v>590</v>
      </c>
      <c r="E9" s="78">
        <v>568</v>
      </c>
      <c r="F9" s="78">
        <v>554</v>
      </c>
      <c r="G9" s="78">
        <v>540</v>
      </c>
      <c r="H9" s="78">
        <v>530</v>
      </c>
      <c r="I9" s="210" t="s">
        <v>628</v>
      </c>
      <c r="J9" s="83"/>
    </row>
    <row r="10" spans="1:10">
      <c r="A10" s="108" t="s">
        <v>1247</v>
      </c>
      <c r="B10" s="88">
        <v>2</v>
      </c>
      <c r="C10" s="73">
        <v>2</v>
      </c>
      <c r="D10" s="73">
        <v>2</v>
      </c>
      <c r="E10" s="73">
        <v>2</v>
      </c>
      <c r="F10" s="73">
        <v>2</v>
      </c>
      <c r="G10" s="73">
        <v>2</v>
      </c>
      <c r="H10" s="73">
        <v>2</v>
      </c>
      <c r="I10" s="217"/>
      <c r="J10" s="99"/>
    </row>
    <row r="11" spans="1:10">
      <c r="A11" s="91" t="s">
        <v>955</v>
      </c>
      <c r="B11" s="88">
        <v>1.8E-3</v>
      </c>
      <c r="C11" s="73">
        <v>1.6999999999999999E-3</v>
      </c>
      <c r="D11" s="73">
        <v>1.6999999999999999E-3</v>
      </c>
      <c r="E11" s="73">
        <v>1.6000000000000001E-3</v>
      </c>
      <c r="F11" s="73">
        <v>1.6000000000000001E-3</v>
      </c>
      <c r="G11" s="73">
        <v>1.6000000000000001E-3</v>
      </c>
      <c r="H11" s="73">
        <v>1.6000000000000001E-3</v>
      </c>
      <c r="I11" s="217"/>
      <c r="J11" s="9"/>
    </row>
    <row r="12" spans="1:10">
      <c r="A12" s="91" t="s">
        <v>918</v>
      </c>
      <c r="B12" s="88">
        <v>330</v>
      </c>
      <c r="C12" s="73">
        <v>340</v>
      </c>
      <c r="D12" s="73">
        <v>350</v>
      </c>
      <c r="E12" s="73">
        <v>360</v>
      </c>
      <c r="F12" s="73">
        <v>360</v>
      </c>
      <c r="G12" s="73">
        <v>370</v>
      </c>
      <c r="H12" s="73">
        <v>370</v>
      </c>
      <c r="I12" s="217" t="s">
        <v>916</v>
      </c>
      <c r="J12" s="9"/>
    </row>
    <row r="13" spans="1:10" ht="14.65" thickBot="1">
      <c r="A13" s="92" t="s">
        <v>611</v>
      </c>
      <c r="B13" s="89">
        <v>25</v>
      </c>
      <c r="C13" s="75">
        <v>25</v>
      </c>
      <c r="D13" s="75">
        <v>25</v>
      </c>
      <c r="E13" s="75">
        <v>25</v>
      </c>
      <c r="F13" s="75">
        <v>25</v>
      </c>
      <c r="G13" s="75">
        <v>25</v>
      </c>
      <c r="H13" s="75">
        <v>25</v>
      </c>
      <c r="I13" s="218"/>
      <c r="J13" s="13"/>
    </row>
    <row r="14" spans="1:10" ht="14.65" thickBot="1">
      <c r="B14" s="136"/>
      <c r="C14" s="137"/>
      <c r="D14" s="137"/>
      <c r="E14" s="137"/>
      <c r="F14" s="137"/>
      <c r="G14" s="137"/>
      <c r="H14" s="137"/>
      <c r="I14" s="133"/>
      <c r="J14" s="137"/>
    </row>
    <row r="15" spans="1:10" ht="14.65" thickBot="1">
      <c r="A15" s="115" t="s">
        <v>377</v>
      </c>
      <c r="B15" s="86">
        <v>2020</v>
      </c>
      <c r="C15" s="80">
        <v>2025</v>
      </c>
      <c r="D15" s="80">
        <v>2030</v>
      </c>
      <c r="E15" s="80">
        <v>2035</v>
      </c>
      <c r="F15" s="80">
        <v>2040</v>
      </c>
      <c r="G15" s="80">
        <v>2045</v>
      </c>
      <c r="H15" s="80">
        <v>2050</v>
      </c>
      <c r="I15" s="81" t="s">
        <v>567</v>
      </c>
      <c r="J15" s="82" t="s">
        <v>568</v>
      </c>
    </row>
    <row r="16" spans="1:10">
      <c r="A16" s="111" t="s">
        <v>946</v>
      </c>
      <c r="B16" s="87">
        <v>75</v>
      </c>
      <c r="C16" s="78">
        <v>75</v>
      </c>
      <c r="D16" s="78">
        <v>100</v>
      </c>
      <c r="E16" s="78">
        <v>100</v>
      </c>
      <c r="F16" s="78">
        <v>100</v>
      </c>
      <c r="G16" s="78">
        <v>100</v>
      </c>
      <c r="H16" s="78">
        <v>100</v>
      </c>
      <c r="I16" s="210" t="s">
        <v>628</v>
      </c>
      <c r="J16" s="83"/>
    </row>
    <row r="17" spans="1:10" ht="28.5">
      <c r="A17" s="108" t="s">
        <v>1233</v>
      </c>
      <c r="B17" s="88" t="s">
        <v>1264</v>
      </c>
      <c r="C17" s="73" t="s">
        <v>1264</v>
      </c>
      <c r="D17" s="73" t="s">
        <v>1265</v>
      </c>
      <c r="E17" s="73" t="s">
        <v>1265</v>
      </c>
      <c r="F17" s="73" t="s">
        <v>1265</v>
      </c>
      <c r="G17" s="73" t="s">
        <v>1265</v>
      </c>
      <c r="H17" s="73" t="s">
        <v>1265</v>
      </c>
      <c r="I17" s="217"/>
      <c r="J17" s="99"/>
    </row>
    <row r="18" spans="1:10">
      <c r="A18" s="91" t="s">
        <v>955</v>
      </c>
      <c r="B18" s="88">
        <v>2.0000000000000001E-4</v>
      </c>
      <c r="C18" s="73">
        <v>2.0000000000000001E-4</v>
      </c>
      <c r="D18" s="73">
        <v>2.0000000000000001E-4</v>
      </c>
      <c r="E18" s="73">
        <v>2.0000000000000001E-4</v>
      </c>
      <c r="F18" s="73">
        <v>2.0000000000000001E-4</v>
      </c>
      <c r="G18" s="73">
        <v>2.0000000000000001E-4</v>
      </c>
      <c r="H18" s="73">
        <v>2.0000000000000001E-4</v>
      </c>
      <c r="I18" s="217"/>
      <c r="J18" s="9"/>
    </row>
    <row r="19" spans="1:10">
      <c r="A19" s="91" t="s">
        <v>918</v>
      </c>
      <c r="B19" s="88">
        <v>97</v>
      </c>
      <c r="C19" s="73">
        <v>97</v>
      </c>
      <c r="D19" s="73">
        <v>97</v>
      </c>
      <c r="E19" s="73">
        <v>97</v>
      </c>
      <c r="F19" s="73">
        <v>97</v>
      </c>
      <c r="G19" s="73">
        <v>97</v>
      </c>
      <c r="H19" s="73">
        <v>97</v>
      </c>
      <c r="I19" s="217" t="s">
        <v>916</v>
      </c>
      <c r="J19" s="9"/>
    </row>
    <row r="20" spans="1:10">
      <c r="A20" s="91" t="s">
        <v>1257</v>
      </c>
      <c r="B20" s="88">
        <v>0.74167000000000005</v>
      </c>
      <c r="C20" s="73">
        <v>0.74167000000000005</v>
      </c>
      <c r="D20" s="73">
        <v>0.74167000000000005</v>
      </c>
      <c r="E20" s="73">
        <v>0.74167000000000005</v>
      </c>
      <c r="F20" s="73">
        <v>0.74167000000000005</v>
      </c>
      <c r="G20" s="73">
        <v>0.74167000000000005</v>
      </c>
      <c r="H20" s="73">
        <v>0.74167000000000005</v>
      </c>
      <c r="I20" s="217"/>
      <c r="J20" s="9" t="s">
        <v>1162</v>
      </c>
    </row>
    <row r="21" spans="1:10" ht="14.65" thickBot="1">
      <c r="A21" s="92" t="s">
        <v>611</v>
      </c>
      <c r="B21" s="89">
        <v>35</v>
      </c>
      <c r="C21" s="75">
        <v>35</v>
      </c>
      <c r="D21" s="75">
        <v>35</v>
      </c>
      <c r="E21" s="75">
        <v>35</v>
      </c>
      <c r="F21" s="75">
        <v>35</v>
      </c>
      <c r="G21" s="75">
        <v>35</v>
      </c>
      <c r="H21" s="75">
        <v>35</v>
      </c>
      <c r="I21" s="218"/>
      <c r="J21" s="13"/>
    </row>
    <row r="22" spans="1:10" ht="14.65" thickBot="1">
      <c r="B22" s="136"/>
      <c r="C22" s="137"/>
      <c r="D22" s="137"/>
      <c r="E22" s="137"/>
      <c r="F22" s="137"/>
      <c r="G22" s="137"/>
      <c r="H22" s="137"/>
      <c r="I22" s="133"/>
      <c r="J22" s="137"/>
    </row>
    <row r="23" spans="1:10" ht="14.65" thickBot="1">
      <c r="A23" s="115" t="s">
        <v>1266</v>
      </c>
      <c r="B23" s="86">
        <v>2020</v>
      </c>
      <c r="C23" s="80">
        <v>2025</v>
      </c>
      <c r="D23" s="80">
        <v>2030</v>
      </c>
      <c r="E23" s="80">
        <v>2035</v>
      </c>
      <c r="F23" s="80">
        <v>2040</v>
      </c>
      <c r="G23" s="80">
        <v>2045</v>
      </c>
      <c r="H23" s="80">
        <v>2050</v>
      </c>
      <c r="I23" s="81" t="s">
        <v>567</v>
      </c>
      <c r="J23" s="82" t="s">
        <v>568</v>
      </c>
    </row>
    <row r="24" spans="1:10">
      <c r="A24" s="90" t="s">
        <v>969</v>
      </c>
      <c r="B24" s="87">
        <v>40</v>
      </c>
      <c r="C24" s="78">
        <v>30</v>
      </c>
      <c r="D24" s="78">
        <v>30</v>
      </c>
      <c r="E24" s="78">
        <v>25</v>
      </c>
      <c r="F24" s="78">
        <v>20</v>
      </c>
      <c r="G24" s="78">
        <v>20</v>
      </c>
      <c r="H24" s="78">
        <v>20</v>
      </c>
      <c r="I24" s="210" t="s">
        <v>628</v>
      </c>
      <c r="J24" s="103"/>
    </row>
    <row r="25" spans="1:10" ht="28.5">
      <c r="A25" s="108" t="s">
        <v>1259</v>
      </c>
      <c r="B25" s="88" t="s">
        <v>1267</v>
      </c>
      <c r="C25" s="73" t="s">
        <v>1268</v>
      </c>
      <c r="D25" s="73" t="s">
        <v>1268</v>
      </c>
      <c r="E25" s="73" t="s">
        <v>1269</v>
      </c>
      <c r="F25" s="73" t="s">
        <v>1270</v>
      </c>
      <c r="G25" s="73" t="s">
        <v>1270</v>
      </c>
      <c r="H25" s="73" t="s">
        <v>1270</v>
      </c>
      <c r="I25" s="217"/>
      <c r="J25" s="9"/>
    </row>
    <row r="26" spans="1:10">
      <c r="A26" s="91" t="s">
        <v>955</v>
      </c>
      <c r="B26" s="88">
        <v>0</v>
      </c>
      <c r="C26" s="73">
        <v>0</v>
      </c>
      <c r="D26" s="73">
        <v>0</v>
      </c>
      <c r="E26" s="73">
        <v>0</v>
      </c>
      <c r="F26" s="73">
        <v>0</v>
      </c>
      <c r="G26" s="73">
        <v>0</v>
      </c>
      <c r="H26" s="73">
        <v>0</v>
      </c>
      <c r="I26" s="217"/>
      <c r="J26" s="9"/>
    </row>
    <row r="27" spans="1:10" ht="19.149999999999999" customHeight="1">
      <c r="A27" s="91" t="s">
        <v>914</v>
      </c>
      <c r="B27" s="88" t="s">
        <v>1261</v>
      </c>
      <c r="C27" s="73" t="s">
        <v>1261</v>
      </c>
      <c r="D27" s="73" t="s">
        <v>1261</v>
      </c>
      <c r="E27" s="73" t="s">
        <v>1261</v>
      </c>
      <c r="F27" s="73" t="s">
        <v>1261</v>
      </c>
      <c r="G27" s="73" t="s">
        <v>1261</v>
      </c>
      <c r="H27" s="73" t="s">
        <v>1261</v>
      </c>
      <c r="I27" s="217" t="s">
        <v>916</v>
      </c>
      <c r="J27" s="9"/>
    </row>
    <row r="28" spans="1:10">
      <c r="A28" s="91" t="s">
        <v>980</v>
      </c>
      <c r="B28" s="88" t="s">
        <v>651</v>
      </c>
      <c r="C28" s="73" t="s">
        <v>651</v>
      </c>
      <c r="D28" s="73" t="s">
        <v>651</v>
      </c>
      <c r="E28" s="73" t="s">
        <v>651</v>
      </c>
      <c r="F28" s="73" t="s">
        <v>651</v>
      </c>
      <c r="G28" s="73" t="s">
        <v>651</v>
      </c>
      <c r="H28" s="73" t="s">
        <v>651</v>
      </c>
      <c r="I28" s="217"/>
      <c r="J28" s="99"/>
    </row>
    <row r="29" spans="1:10">
      <c r="A29" s="91" t="s">
        <v>918</v>
      </c>
      <c r="B29" s="88">
        <v>90</v>
      </c>
      <c r="C29" s="73">
        <v>90</v>
      </c>
      <c r="D29" s="73">
        <v>90</v>
      </c>
      <c r="E29" s="73">
        <v>90</v>
      </c>
      <c r="F29" s="73">
        <v>90</v>
      </c>
      <c r="G29" s="73">
        <v>90</v>
      </c>
      <c r="H29" s="73">
        <v>90</v>
      </c>
      <c r="I29" s="217"/>
      <c r="J29" s="99"/>
    </row>
    <row r="30" spans="1:10">
      <c r="A30" s="91" t="s">
        <v>984</v>
      </c>
      <c r="B30" s="88">
        <v>10000000</v>
      </c>
      <c r="C30" s="73">
        <v>10000000</v>
      </c>
      <c r="D30" s="73">
        <v>10000000</v>
      </c>
      <c r="E30" s="73">
        <v>10000000</v>
      </c>
      <c r="F30" s="73">
        <v>10000000</v>
      </c>
      <c r="G30" s="73">
        <v>10000000</v>
      </c>
      <c r="H30" s="73">
        <v>10000000</v>
      </c>
      <c r="I30" s="217"/>
      <c r="J30" s="9" t="s">
        <v>985</v>
      </c>
    </row>
    <row r="31" spans="1:10">
      <c r="A31" s="91" t="s">
        <v>850</v>
      </c>
      <c r="B31" s="88">
        <v>100</v>
      </c>
      <c r="C31" s="73">
        <v>100</v>
      </c>
      <c r="D31" s="73">
        <v>100</v>
      </c>
      <c r="E31" s="73">
        <v>100</v>
      </c>
      <c r="F31" s="73">
        <v>100</v>
      </c>
      <c r="G31" s="73">
        <v>100</v>
      </c>
      <c r="H31" s="73">
        <v>100</v>
      </c>
      <c r="I31" s="217"/>
      <c r="J31" s="99"/>
    </row>
    <row r="32" spans="1:10">
      <c r="A32" s="91" t="s">
        <v>640</v>
      </c>
      <c r="B32" s="88">
        <v>0</v>
      </c>
      <c r="C32" s="73">
        <v>0</v>
      </c>
      <c r="D32" s="73">
        <v>0</v>
      </c>
      <c r="E32" s="73">
        <v>0</v>
      </c>
      <c r="F32" s="73">
        <v>0</v>
      </c>
      <c r="G32" s="73">
        <v>0</v>
      </c>
      <c r="H32" s="73">
        <v>0</v>
      </c>
      <c r="I32" s="217"/>
      <c r="J32" s="9"/>
    </row>
    <row r="33" spans="1:10" ht="14.65" thickBot="1">
      <c r="A33" s="92" t="s">
        <v>611</v>
      </c>
      <c r="B33" s="89">
        <v>25</v>
      </c>
      <c r="C33" s="75">
        <v>25</v>
      </c>
      <c r="D33" s="75">
        <v>25</v>
      </c>
      <c r="E33" s="75">
        <v>25</v>
      </c>
      <c r="F33" s="75">
        <v>25</v>
      </c>
      <c r="G33" s="75">
        <v>25</v>
      </c>
      <c r="H33" s="75">
        <v>25</v>
      </c>
      <c r="I33" s="218"/>
      <c r="J33" s="13"/>
    </row>
    <row r="34" spans="1:10" ht="14.65" thickBot="1"/>
    <row r="35" spans="1:10" ht="28.9" thickBot="1">
      <c r="A35" s="115" t="s">
        <v>1271</v>
      </c>
      <c r="B35" s="86">
        <v>2020</v>
      </c>
      <c r="C35" s="80">
        <v>2025</v>
      </c>
      <c r="D35" s="80">
        <v>2030</v>
      </c>
      <c r="E35" s="80">
        <v>2035</v>
      </c>
      <c r="F35" s="80">
        <v>2040</v>
      </c>
      <c r="G35" s="80">
        <v>2045</v>
      </c>
      <c r="H35" s="80">
        <v>2050</v>
      </c>
      <c r="I35" s="107" t="s">
        <v>567</v>
      </c>
      <c r="J35" s="82" t="s">
        <v>568</v>
      </c>
    </row>
    <row r="36" spans="1:10" ht="16.149999999999999" customHeight="1">
      <c r="A36" s="119" t="s">
        <v>946</v>
      </c>
      <c r="B36" s="87">
        <v>0</v>
      </c>
      <c r="C36" s="78">
        <v>0</v>
      </c>
      <c r="D36" s="78">
        <v>0</v>
      </c>
      <c r="E36" s="78">
        <v>0</v>
      </c>
      <c r="F36" s="78">
        <v>0</v>
      </c>
      <c r="G36" s="78">
        <v>0</v>
      </c>
      <c r="H36" s="78">
        <v>0</v>
      </c>
      <c r="I36" s="79" t="s">
        <v>628</v>
      </c>
      <c r="J36" s="98"/>
    </row>
    <row r="37" spans="1:10" ht="28.5">
      <c r="A37" s="108" t="s">
        <v>1233</v>
      </c>
      <c r="B37" s="88">
        <v>0</v>
      </c>
      <c r="C37" s="73">
        <v>0</v>
      </c>
      <c r="D37" s="73">
        <v>0</v>
      </c>
      <c r="E37" s="73">
        <v>0</v>
      </c>
      <c r="F37" s="73">
        <v>0</v>
      </c>
      <c r="G37" s="73">
        <v>0</v>
      </c>
      <c r="H37" s="73">
        <v>0</v>
      </c>
      <c r="I37" s="94"/>
      <c r="J37" s="99"/>
    </row>
    <row r="38" spans="1:10">
      <c r="A38" s="91" t="s">
        <v>955</v>
      </c>
      <c r="B38" s="88">
        <v>0</v>
      </c>
      <c r="C38" s="73">
        <v>0</v>
      </c>
      <c r="D38" s="73">
        <v>0</v>
      </c>
      <c r="E38" s="73">
        <v>0</v>
      </c>
      <c r="F38" s="73">
        <v>0</v>
      </c>
      <c r="G38" s="73">
        <v>0</v>
      </c>
      <c r="H38" s="73">
        <v>0</v>
      </c>
      <c r="I38" s="94"/>
      <c r="J38" s="9"/>
    </row>
    <row r="39" spans="1:10" ht="14.65" thickBot="1">
      <c r="A39" s="92" t="s">
        <v>611</v>
      </c>
      <c r="B39" s="89">
        <v>50</v>
      </c>
      <c r="C39" s="75">
        <v>50</v>
      </c>
      <c r="D39" s="75">
        <v>50</v>
      </c>
      <c r="E39" s="75">
        <v>50</v>
      </c>
      <c r="F39" s="75">
        <v>50</v>
      </c>
      <c r="G39" s="75">
        <v>50</v>
      </c>
      <c r="H39" s="75">
        <v>50</v>
      </c>
      <c r="I39" s="84"/>
      <c r="J39" s="13"/>
    </row>
  </sheetData>
  <mergeCells count="8">
    <mergeCell ref="I2:I4"/>
    <mergeCell ref="I9:I11"/>
    <mergeCell ref="I16:I18"/>
    <mergeCell ref="I24:I26"/>
    <mergeCell ref="I27:I33"/>
    <mergeCell ref="I5:I6"/>
    <mergeCell ref="I12:I13"/>
    <mergeCell ref="I19:I21"/>
  </mergeCells>
  <phoneticPr fontId="2" type="noConversion"/>
  <hyperlinks>
    <hyperlink ref="I2" r:id="rId1" display="https://ars.els-cdn.com/content/image/1-s2.0-S1364032121008352-mmc1.pdf" xr:uid="{6374150F-FA42-4820-8337-FCF808A42783}"/>
    <hyperlink ref="I5" r:id="rId2" display="https://ars.els-cdn.com/content/image/1-s2.0-S0959652621004157-mmc1.pdf" xr:uid="{10C6E556-7454-4174-810B-9FD82690035A}"/>
    <hyperlink ref="I9" r:id="rId3" display="https://ars.els-cdn.com/content/image/1-s2.0-S1364032121008352-mmc1.pdf" xr:uid="{FEAC9F8A-9327-4946-8C87-DE899C7B27FC}"/>
    <hyperlink ref="I12" r:id="rId4" display="https://ars.els-cdn.com/content/image/1-s2.0-S0360544221007167-mmc1.pdf" xr:uid="{A7CCD4C7-BACD-4BE2-A48C-6F072EDE2977}"/>
    <hyperlink ref="I16" r:id="rId5" display="https://ars.els-cdn.com/content/image/1-s2.0-S1364032121008352-mmc1.pdf" xr:uid="{3E83DE17-BE88-45E1-B44A-3E1B90C03532}"/>
    <hyperlink ref="I19" r:id="rId6" display="https://ars.els-cdn.com/content/image/1-s2.0-S0360544221007167-mmc1.pdf" xr:uid="{E0ED3850-A571-4284-AD38-D4D3DA9D0AD0}"/>
    <hyperlink ref="I24" r:id="rId7" display="https://ars.els-cdn.com/content/image/1-s2.0-S1364032121008352-mmc1.pdf" xr:uid="{D2F03631-F69A-4A03-B51C-DF74C2A3D640}"/>
    <hyperlink ref="I27" r:id="rId8" display="https://ars.els-cdn.com/content/image/1-s2.0-S0360544221007167-mmc1.pdf" xr:uid="{ADE86982-4473-4444-8709-3C495D58FAA8}"/>
    <hyperlink ref="I36" r:id="rId9" display="https://ars.els-cdn.com/content/image/1-s2.0-S1364032121008352-mmc1.pdf" xr:uid="{9DF353DE-FD35-4676-A445-34C44D067316}"/>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9D26F-98E6-4A13-BCD4-7522910FE812}">
  <sheetPr codeName="Hoja19"/>
  <dimension ref="A1:J26"/>
  <sheetViews>
    <sheetView workbookViewId="0">
      <selection activeCell="B29" sqref="B29"/>
    </sheetView>
  </sheetViews>
  <sheetFormatPr defaultColWidth="11.42578125" defaultRowHeight="14.25"/>
  <cols>
    <col min="1" max="1" width="29.5703125" bestFit="1" customWidth="1"/>
    <col min="9" max="9" width="11.5703125" style="71"/>
    <col min="10" max="10" width="69.28515625" customWidth="1"/>
  </cols>
  <sheetData>
    <row r="1" spans="1:10" ht="28.9" thickBot="1">
      <c r="A1" s="115" t="s">
        <v>1272</v>
      </c>
      <c r="B1" s="86">
        <v>2020</v>
      </c>
      <c r="C1" s="80">
        <v>2025</v>
      </c>
      <c r="D1" s="80">
        <v>2030</v>
      </c>
      <c r="E1" s="80">
        <v>2035</v>
      </c>
      <c r="F1" s="80">
        <v>2040</v>
      </c>
      <c r="G1" s="80">
        <v>2045</v>
      </c>
      <c r="H1" s="80">
        <v>2050</v>
      </c>
      <c r="I1" s="107" t="s">
        <v>567</v>
      </c>
      <c r="J1" s="82" t="s">
        <v>568</v>
      </c>
    </row>
    <row r="2" spans="1:10" ht="15" customHeight="1">
      <c r="A2" s="235" t="s">
        <v>946</v>
      </c>
      <c r="B2" s="236">
        <v>100</v>
      </c>
      <c r="C2" s="237">
        <v>100</v>
      </c>
      <c r="D2" s="237">
        <v>100</v>
      </c>
      <c r="E2" s="237">
        <v>100</v>
      </c>
      <c r="F2" s="237">
        <v>100</v>
      </c>
      <c r="G2" s="237">
        <v>100</v>
      </c>
      <c r="H2" s="237">
        <v>100</v>
      </c>
      <c r="I2" s="79" t="s">
        <v>628</v>
      </c>
      <c r="J2" s="83"/>
    </row>
    <row r="3" spans="1:10" ht="12" customHeight="1">
      <c r="A3" s="212"/>
      <c r="B3" s="213"/>
      <c r="C3" s="211"/>
      <c r="D3" s="211"/>
      <c r="E3" s="211"/>
      <c r="F3" s="211"/>
      <c r="G3" s="211"/>
      <c r="H3" s="211"/>
      <c r="I3" s="217" t="s">
        <v>1273</v>
      </c>
      <c r="J3" s="99" t="s">
        <v>1274</v>
      </c>
    </row>
    <row r="4" spans="1:10" ht="28.5">
      <c r="A4" s="108" t="s">
        <v>1233</v>
      </c>
      <c r="B4" s="88" t="s">
        <v>614</v>
      </c>
      <c r="C4" s="73" t="s">
        <v>614</v>
      </c>
      <c r="D4" s="73" t="s">
        <v>614</v>
      </c>
      <c r="E4" s="73" t="s">
        <v>614</v>
      </c>
      <c r="F4" s="73" t="s">
        <v>614</v>
      </c>
      <c r="G4" s="73" t="s">
        <v>614</v>
      </c>
      <c r="H4" s="73" t="s">
        <v>614</v>
      </c>
      <c r="I4" s="217"/>
      <c r="J4" s="9"/>
    </row>
    <row r="5" spans="1:10">
      <c r="A5" s="91" t="s">
        <v>955</v>
      </c>
      <c r="B5" s="88">
        <v>0</v>
      </c>
      <c r="C5" s="73">
        <v>0</v>
      </c>
      <c r="D5" s="73">
        <v>0</v>
      </c>
      <c r="E5" s="73">
        <v>0</v>
      </c>
      <c r="F5" s="73">
        <v>0</v>
      </c>
      <c r="G5" s="73">
        <v>0</v>
      </c>
      <c r="H5" s="73">
        <v>0</v>
      </c>
      <c r="I5" s="217"/>
      <c r="J5" s="9"/>
    </row>
    <row r="6" spans="1:10" ht="28.5">
      <c r="A6" s="91" t="s">
        <v>918</v>
      </c>
      <c r="B6" s="88">
        <v>95</v>
      </c>
      <c r="C6" s="73">
        <v>95</v>
      </c>
      <c r="D6" s="73">
        <v>95</v>
      </c>
      <c r="E6" s="73">
        <v>95</v>
      </c>
      <c r="F6" s="73">
        <v>95</v>
      </c>
      <c r="G6" s="73">
        <v>95</v>
      </c>
      <c r="H6" s="73">
        <v>95</v>
      </c>
      <c r="I6" s="217"/>
      <c r="J6" s="99" t="s">
        <v>1160</v>
      </c>
    </row>
    <row r="7" spans="1:10">
      <c r="A7" s="108" t="s">
        <v>1257</v>
      </c>
      <c r="B7" s="88">
        <v>7.5729000000000005E-2</v>
      </c>
      <c r="C7" s="73">
        <v>7.5729000000000005E-2</v>
      </c>
      <c r="D7" s="73">
        <v>7.5729000000000005E-2</v>
      </c>
      <c r="E7" s="73">
        <v>7.5729000000000005E-2</v>
      </c>
      <c r="F7" s="73">
        <v>7.5729000000000005E-2</v>
      </c>
      <c r="G7" s="73">
        <v>7.5729000000000005E-2</v>
      </c>
      <c r="H7" s="73">
        <v>7.5729000000000005E-2</v>
      </c>
      <c r="I7" s="217"/>
      <c r="J7" s="9" t="s">
        <v>1275</v>
      </c>
    </row>
    <row r="8" spans="1:10">
      <c r="A8" s="91" t="s">
        <v>940</v>
      </c>
      <c r="B8" s="88" t="s">
        <v>1276</v>
      </c>
      <c r="C8" s="73" t="s">
        <v>1276</v>
      </c>
      <c r="D8" s="73" t="s">
        <v>1276</v>
      </c>
      <c r="E8" s="73" t="s">
        <v>1276</v>
      </c>
      <c r="F8" s="73" t="s">
        <v>1276</v>
      </c>
      <c r="G8" s="73" t="s">
        <v>1276</v>
      </c>
      <c r="H8" s="73" t="s">
        <v>1276</v>
      </c>
      <c r="I8" s="217"/>
      <c r="J8" s="9" t="s">
        <v>1277</v>
      </c>
    </row>
    <row r="9" spans="1:10" ht="14.65" thickBot="1">
      <c r="A9" s="92" t="s">
        <v>611</v>
      </c>
      <c r="B9" s="89">
        <v>15</v>
      </c>
      <c r="C9" s="75">
        <v>15</v>
      </c>
      <c r="D9" s="75">
        <v>15</v>
      </c>
      <c r="E9" s="75">
        <v>15</v>
      </c>
      <c r="F9" s="75">
        <v>15</v>
      </c>
      <c r="G9" s="75">
        <v>15</v>
      </c>
      <c r="H9" s="75">
        <v>15</v>
      </c>
      <c r="I9" s="218"/>
      <c r="J9" s="13"/>
    </row>
    <row r="10" spans="1:10" ht="14.65" thickBot="1"/>
    <row r="11" spans="1:10" ht="28.9" thickBot="1">
      <c r="A11" s="115" t="s">
        <v>1278</v>
      </c>
      <c r="B11" s="86">
        <v>2020</v>
      </c>
      <c r="C11" s="80">
        <v>2025</v>
      </c>
      <c r="D11" s="80">
        <v>2030</v>
      </c>
      <c r="E11" s="80">
        <v>2035</v>
      </c>
      <c r="F11" s="80">
        <v>2040</v>
      </c>
      <c r="G11" s="80">
        <v>2045</v>
      </c>
      <c r="H11" s="80">
        <v>2050</v>
      </c>
      <c r="I11" s="107" t="s">
        <v>567</v>
      </c>
      <c r="J11" s="82" t="s">
        <v>568</v>
      </c>
    </row>
    <row r="12" spans="1:10" ht="15" customHeight="1">
      <c r="A12" s="235" t="s">
        <v>946</v>
      </c>
      <c r="B12" s="236" t="s">
        <v>651</v>
      </c>
      <c r="C12" s="237" t="s">
        <v>651</v>
      </c>
      <c r="D12" s="237">
        <v>110</v>
      </c>
      <c r="E12" s="237">
        <v>110</v>
      </c>
      <c r="F12" s="237">
        <v>110</v>
      </c>
      <c r="G12" s="237">
        <v>110</v>
      </c>
      <c r="H12" s="237">
        <v>110</v>
      </c>
      <c r="I12" s="79" t="s">
        <v>628</v>
      </c>
      <c r="J12" s="83"/>
    </row>
    <row r="13" spans="1:10" ht="42.75">
      <c r="A13" s="212"/>
      <c r="B13" s="213"/>
      <c r="C13" s="211"/>
      <c r="D13" s="211"/>
      <c r="E13" s="211"/>
      <c r="F13" s="211"/>
      <c r="G13" s="211"/>
      <c r="H13" s="211"/>
      <c r="I13" s="217" t="s">
        <v>570</v>
      </c>
      <c r="J13" s="99" t="s">
        <v>1279</v>
      </c>
    </row>
    <row r="14" spans="1:10" ht="28.5">
      <c r="A14" s="108" t="s">
        <v>1233</v>
      </c>
      <c r="B14" s="88" t="s">
        <v>651</v>
      </c>
      <c r="C14" s="73" t="s">
        <v>651</v>
      </c>
      <c r="D14" s="73" t="s">
        <v>1280</v>
      </c>
      <c r="E14" s="73" t="s">
        <v>1280</v>
      </c>
      <c r="F14" s="73" t="s">
        <v>1280</v>
      </c>
      <c r="G14" s="73" t="s">
        <v>1280</v>
      </c>
      <c r="H14" s="73" t="s">
        <v>1280</v>
      </c>
      <c r="I14" s="217"/>
      <c r="J14" s="9"/>
    </row>
    <row r="15" spans="1:10">
      <c r="A15" s="91" t="s">
        <v>955</v>
      </c>
      <c r="B15" s="88" t="s">
        <v>651</v>
      </c>
      <c r="C15" s="73" t="s">
        <v>651</v>
      </c>
      <c r="D15" s="73">
        <v>0</v>
      </c>
      <c r="E15" s="73">
        <v>0</v>
      </c>
      <c r="F15" s="73">
        <v>0</v>
      </c>
      <c r="G15" s="73">
        <v>0</v>
      </c>
      <c r="H15" s="73">
        <v>0</v>
      </c>
      <c r="I15" s="217"/>
      <c r="J15" s="9"/>
    </row>
    <row r="16" spans="1:10" ht="28.5">
      <c r="A16" s="91" t="s">
        <v>918</v>
      </c>
      <c r="B16" s="88" t="s">
        <v>651</v>
      </c>
      <c r="C16" s="73" t="s">
        <v>651</v>
      </c>
      <c r="D16" s="73">
        <v>95</v>
      </c>
      <c r="E16" s="73">
        <v>95</v>
      </c>
      <c r="F16" s="73">
        <v>95</v>
      </c>
      <c r="G16" s="73">
        <v>95</v>
      </c>
      <c r="H16" s="73">
        <v>95</v>
      </c>
      <c r="I16" s="217"/>
      <c r="J16" s="99" t="s">
        <v>1183</v>
      </c>
    </row>
    <row r="17" spans="1:10">
      <c r="A17" s="108" t="s">
        <v>1281</v>
      </c>
      <c r="B17" s="88" t="s">
        <v>651</v>
      </c>
      <c r="C17" s="73" t="s">
        <v>651</v>
      </c>
      <c r="D17" s="73">
        <v>3.1579999999999997E-2</v>
      </c>
      <c r="E17" s="73">
        <v>3.1579999999999997E-2</v>
      </c>
      <c r="F17" s="73">
        <v>3.1579999999999997E-2</v>
      </c>
      <c r="G17" s="73">
        <v>3.1579999999999997E-2</v>
      </c>
      <c r="H17" s="73">
        <v>3.1579999999999997E-2</v>
      </c>
      <c r="I17" s="217"/>
      <c r="J17" s="9" t="s">
        <v>1282</v>
      </c>
    </row>
    <row r="18" spans="1:10">
      <c r="A18" s="91" t="s">
        <v>940</v>
      </c>
      <c r="B18" s="88" t="s">
        <v>651</v>
      </c>
      <c r="C18" s="73" t="s">
        <v>651</v>
      </c>
      <c r="D18" s="73" t="s">
        <v>1276</v>
      </c>
      <c r="E18" s="73" t="s">
        <v>1276</v>
      </c>
      <c r="F18" s="73" t="s">
        <v>1276</v>
      </c>
      <c r="G18" s="73" t="s">
        <v>1276</v>
      </c>
      <c r="H18" s="73" t="s">
        <v>1276</v>
      </c>
      <c r="I18" s="217"/>
      <c r="J18" s="9" t="s">
        <v>1277</v>
      </c>
    </row>
    <row r="19" spans="1:10" ht="14.65" thickBot="1">
      <c r="A19" s="92" t="s">
        <v>611</v>
      </c>
      <c r="B19" s="89" t="s">
        <v>651</v>
      </c>
      <c r="C19" s="75" t="s">
        <v>651</v>
      </c>
      <c r="D19" s="75">
        <v>15</v>
      </c>
      <c r="E19" s="75">
        <v>15</v>
      </c>
      <c r="F19" s="75">
        <v>15</v>
      </c>
      <c r="G19" s="75">
        <v>15</v>
      </c>
      <c r="H19" s="75">
        <v>15</v>
      </c>
      <c r="I19" s="218"/>
      <c r="J19" s="13"/>
    </row>
    <row r="20" spans="1:10" ht="14.65" thickBot="1"/>
    <row r="21" spans="1:10" ht="14.65" thickBot="1">
      <c r="A21" s="115" t="s">
        <v>1283</v>
      </c>
      <c r="B21" s="86">
        <v>2020</v>
      </c>
      <c r="C21" s="80">
        <v>2025</v>
      </c>
      <c r="D21" s="80">
        <v>2030</v>
      </c>
      <c r="E21" s="80">
        <v>2035</v>
      </c>
      <c r="F21" s="80">
        <v>2040</v>
      </c>
      <c r="G21" s="80">
        <v>2045</v>
      </c>
      <c r="H21" s="80">
        <v>2050</v>
      </c>
      <c r="I21" s="81" t="s">
        <v>567</v>
      </c>
      <c r="J21" s="82" t="s">
        <v>568</v>
      </c>
    </row>
    <row r="22" spans="1:10" ht="28.5">
      <c r="A22" s="111" t="s">
        <v>946</v>
      </c>
      <c r="B22" s="87">
        <v>21</v>
      </c>
      <c r="C22" s="78">
        <v>21</v>
      </c>
      <c r="D22" s="78">
        <v>21</v>
      </c>
      <c r="E22" s="78">
        <v>21</v>
      </c>
      <c r="F22" s="78">
        <v>21</v>
      </c>
      <c r="G22" s="78">
        <v>21</v>
      </c>
      <c r="H22" s="78">
        <v>21</v>
      </c>
      <c r="I22" s="210" t="s">
        <v>1284</v>
      </c>
      <c r="J22" s="98" t="s">
        <v>1285</v>
      </c>
    </row>
    <row r="23" spans="1:10">
      <c r="A23" s="108" t="s">
        <v>1247</v>
      </c>
      <c r="B23" s="88">
        <v>0.4</v>
      </c>
      <c r="C23" s="73">
        <v>0.4</v>
      </c>
      <c r="D23" s="73">
        <v>0.4</v>
      </c>
      <c r="E23" s="73">
        <v>0.4</v>
      </c>
      <c r="F23" s="73">
        <v>0.4</v>
      </c>
      <c r="G23" s="73">
        <v>0.4</v>
      </c>
      <c r="H23" s="73">
        <v>0.4</v>
      </c>
      <c r="I23" s="217"/>
      <c r="J23" s="99"/>
    </row>
    <row r="24" spans="1:10">
      <c r="A24" s="91" t="s">
        <v>955</v>
      </c>
      <c r="B24" s="88">
        <v>1E-3</v>
      </c>
      <c r="C24" s="73">
        <v>1E-3</v>
      </c>
      <c r="D24" s="73">
        <v>1E-3</v>
      </c>
      <c r="E24" s="73">
        <v>1E-3</v>
      </c>
      <c r="F24" s="73">
        <v>1E-3</v>
      </c>
      <c r="G24" s="73">
        <v>1E-3</v>
      </c>
      <c r="H24" s="73">
        <v>1E-3</v>
      </c>
      <c r="I24" s="217"/>
      <c r="J24" s="9"/>
    </row>
    <row r="25" spans="1:10">
      <c r="A25" s="91" t="s">
        <v>918</v>
      </c>
      <c r="B25" s="88">
        <v>100</v>
      </c>
      <c r="C25" s="73">
        <v>100</v>
      </c>
      <c r="D25" s="73">
        <v>100</v>
      </c>
      <c r="E25" s="73">
        <v>100</v>
      </c>
      <c r="F25" s="73">
        <v>100</v>
      </c>
      <c r="G25" s="73">
        <v>100</v>
      </c>
      <c r="H25" s="73">
        <v>100</v>
      </c>
      <c r="I25" s="217"/>
      <c r="J25" s="9"/>
    </row>
    <row r="26" spans="1:10" ht="14.65" thickBot="1">
      <c r="A26" s="92" t="s">
        <v>611</v>
      </c>
      <c r="B26" s="89">
        <v>30</v>
      </c>
      <c r="C26" s="75">
        <v>30</v>
      </c>
      <c r="D26" s="75">
        <v>30</v>
      </c>
      <c r="E26" s="75">
        <v>30</v>
      </c>
      <c r="F26" s="75">
        <v>30</v>
      </c>
      <c r="G26" s="75">
        <v>30</v>
      </c>
      <c r="H26" s="75">
        <v>30</v>
      </c>
      <c r="I26" s="218"/>
      <c r="J26" s="13"/>
    </row>
  </sheetData>
  <mergeCells count="19">
    <mergeCell ref="I22:I26"/>
    <mergeCell ref="I3:I9"/>
    <mergeCell ref="I13:I19"/>
    <mergeCell ref="F12:F13"/>
    <mergeCell ref="G12:G13"/>
    <mergeCell ref="F2:F3"/>
    <mergeCell ref="H12:H13"/>
    <mergeCell ref="G2:G3"/>
    <mergeCell ref="H2:H3"/>
    <mergeCell ref="A2:A3"/>
    <mergeCell ref="B2:B3"/>
    <mergeCell ref="C2:C3"/>
    <mergeCell ref="D2:D3"/>
    <mergeCell ref="E2:E3"/>
    <mergeCell ref="A12:A13"/>
    <mergeCell ref="B12:B13"/>
    <mergeCell ref="C12:C13"/>
    <mergeCell ref="D12:D13"/>
    <mergeCell ref="E12:E13"/>
  </mergeCells>
  <hyperlinks>
    <hyperlink ref="I2" r:id="rId1" display="https://ars.els-cdn.com/content/image/1-s2.0-S1364032121008352-mmc1.pdf" xr:uid="{BFAC3263-9083-4F7C-BE3E-134FC5C1FCBD}"/>
    <hyperlink ref="I12" r:id="rId2" display="https://ars.els-cdn.com/content/image/1-s2.0-S1364032121008352-mmc1.pdf" xr:uid="{2829A758-5D46-40FD-A8DF-E47194B033E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0BB4C-2BE1-4430-91D9-405FF4AADE5A}">
  <sheetPr codeName="Hoja2"/>
  <dimension ref="A1:J18"/>
  <sheetViews>
    <sheetView workbookViewId="0">
      <selection activeCell="F18" sqref="F18"/>
    </sheetView>
  </sheetViews>
  <sheetFormatPr defaultColWidth="11.42578125" defaultRowHeight="14.25"/>
  <cols>
    <col min="1" max="1" width="17.85546875" bestFit="1" customWidth="1"/>
    <col min="3" max="3" width="17.85546875" bestFit="1" customWidth="1"/>
    <col min="6" max="6" width="17.85546875" bestFit="1" customWidth="1"/>
    <col min="7" max="7" width="45.28515625" customWidth="1"/>
    <col min="9" max="9" width="17.85546875" bestFit="1" customWidth="1"/>
    <col min="10" max="10" width="26.7109375" bestFit="1" customWidth="1"/>
    <col min="13" max="13" width="20" customWidth="1"/>
  </cols>
  <sheetData>
    <row r="1" spans="1:10" ht="14.65" thickBot="1">
      <c r="C1" s="191" t="s">
        <v>8</v>
      </c>
      <c r="D1" s="192"/>
      <c r="F1" s="191" t="s">
        <v>9</v>
      </c>
      <c r="G1" s="192"/>
      <c r="I1" s="191" t="s">
        <v>10</v>
      </c>
      <c r="J1" s="192"/>
    </row>
    <row r="2" spans="1:10" ht="14.65" thickBot="1">
      <c r="C2" s="193" t="s">
        <v>11</v>
      </c>
      <c r="D2" s="194" t="s">
        <v>12</v>
      </c>
      <c r="F2" s="193" t="s">
        <v>11</v>
      </c>
      <c r="G2" s="194" t="s">
        <v>13</v>
      </c>
      <c r="I2" s="193" t="s">
        <v>11</v>
      </c>
      <c r="J2" s="194" t="s">
        <v>13</v>
      </c>
    </row>
    <row r="3" spans="1:10" ht="14.45" customHeight="1">
      <c r="C3" s="197" t="s">
        <v>14</v>
      </c>
      <c r="D3" s="196" t="s">
        <v>15</v>
      </c>
      <c r="F3" s="197" t="s">
        <v>16</v>
      </c>
      <c r="G3" s="195" t="s">
        <v>17</v>
      </c>
      <c r="I3" s="197" t="s">
        <v>18</v>
      </c>
      <c r="J3" s="195" t="s">
        <v>19</v>
      </c>
    </row>
    <row r="4" spans="1:10" ht="17.45" customHeight="1">
      <c r="C4" s="198" t="s">
        <v>20</v>
      </c>
      <c r="D4" s="187" t="s">
        <v>21</v>
      </c>
      <c r="F4" s="198" t="s">
        <v>22</v>
      </c>
      <c r="G4" s="189" t="s">
        <v>23</v>
      </c>
      <c r="I4" s="198" t="s">
        <v>24</v>
      </c>
      <c r="J4" s="189" t="s">
        <v>25</v>
      </c>
    </row>
    <row r="5" spans="1:10" ht="43.15" customHeight="1">
      <c r="C5" s="198" t="s">
        <v>26</v>
      </c>
      <c r="D5" s="187" t="s">
        <v>27</v>
      </c>
      <c r="F5" s="198" t="s">
        <v>28</v>
      </c>
      <c r="G5" s="200" t="s">
        <v>29</v>
      </c>
      <c r="I5" s="198" t="s">
        <v>30</v>
      </c>
      <c r="J5" s="189" t="s">
        <v>31</v>
      </c>
    </row>
    <row r="6" spans="1:10" ht="28.15" customHeight="1" thickBot="1">
      <c r="C6" s="199" t="s">
        <v>32</v>
      </c>
      <c r="D6" s="188" t="s">
        <v>33</v>
      </c>
      <c r="F6" s="198" t="s">
        <v>34</v>
      </c>
      <c r="G6" s="200" t="s">
        <v>35</v>
      </c>
      <c r="I6" s="198" t="s">
        <v>36</v>
      </c>
      <c r="J6" s="189" t="s">
        <v>37</v>
      </c>
    </row>
    <row r="7" spans="1:10" ht="30.6" customHeight="1">
      <c r="A7" s="35"/>
      <c r="B7" s="68"/>
      <c r="F7" s="198" t="s">
        <v>38</v>
      </c>
      <c r="G7" s="200" t="s">
        <v>39</v>
      </c>
      <c r="I7" s="198" t="s">
        <v>40</v>
      </c>
      <c r="J7" s="189" t="s">
        <v>41</v>
      </c>
    </row>
    <row r="8" spans="1:10" ht="44.45" customHeight="1">
      <c r="A8" s="35"/>
      <c r="B8" s="68"/>
      <c r="F8" s="198" t="s">
        <v>42</v>
      </c>
      <c r="G8" s="200" t="s">
        <v>43</v>
      </c>
      <c r="I8" s="198" t="s">
        <v>44</v>
      </c>
      <c r="J8" s="189" t="s">
        <v>45</v>
      </c>
    </row>
    <row r="9" spans="1:10" ht="31.9" customHeight="1">
      <c r="A9" s="35"/>
      <c r="B9" s="68"/>
      <c r="F9" s="198" t="s">
        <v>46</v>
      </c>
      <c r="G9" s="200" t="s">
        <v>47</v>
      </c>
      <c r="I9" s="198" t="s">
        <v>48</v>
      </c>
      <c r="J9" s="189" t="s">
        <v>49</v>
      </c>
    </row>
    <row r="10" spans="1:10" ht="37.9" customHeight="1">
      <c r="A10" s="35"/>
      <c r="B10" s="68"/>
      <c r="F10" s="198" t="s">
        <v>50</v>
      </c>
      <c r="G10" s="200" t="s">
        <v>51</v>
      </c>
      <c r="I10" s="198" t="s">
        <v>52</v>
      </c>
      <c r="J10" s="189" t="s">
        <v>53</v>
      </c>
    </row>
    <row r="11" spans="1:10" ht="46.9" customHeight="1">
      <c r="A11" s="33"/>
      <c r="B11" s="186"/>
      <c r="F11" s="198" t="s">
        <v>54</v>
      </c>
      <c r="G11" s="200" t="s">
        <v>55</v>
      </c>
      <c r="I11" s="198" t="s">
        <v>56</v>
      </c>
      <c r="J11" s="189" t="s">
        <v>57</v>
      </c>
    </row>
    <row r="12" spans="1:10" ht="31.15" customHeight="1" thickBot="1">
      <c r="A12" s="33"/>
      <c r="B12" s="186"/>
      <c r="F12" s="199" t="s">
        <v>58</v>
      </c>
      <c r="G12" s="200" t="s">
        <v>59</v>
      </c>
      <c r="I12" s="198" t="s">
        <v>60</v>
      </c>
      <c r="J12" s="189" t="s">
        <v>61</v>
      </c>
    </row>
    <row r="13" spans="1:10" ht="16.149999999999999" customHeight="1">
      <c r="A13" s="33"/>
      <c r="B13" s="186"/>
      <c r="I13" s="198" t="s">
        <v>62</v>
      </c>
      <c r="J13" s="189" t="s">
        <v>63</v>
      </c>
    </row>
    <row r="14" spans="1:10">
      <c r="A14" s="33"/>
      <c r="B14" s="33"/>
      <c r="I14" s="198" t="s">
        <v>64</v>
      </c>
      <c r="J14" s="189" t="s">
        <v>65</v>
      </c>
    </row>
    <row r="15" spans="1:10">
      <c r="A15" s="33"/>
      <c r="B15" s="33"/>
      <c r="I15" s="198" t="s">
        <v>66</v>
      </c>
      <c r="J15" s="189" t="s">
        <v>67</v>
      </c>
    </row>
    <row r="16" spans="1:10">
      <c r="A16" s="33"/>
      <c r="B16" s="33"/>
      <c r="I16" s="198" t="s">
        <v>68</v>
      </c>
      <c r="J16" s="189" t="s">
        <v>69</v>
      </c>
    </row>
    <row r="17" spans="1:10" ht="28.5">
      <c r="A17" s="33"/>
      <c r="B17" s="33"/>
      <c r="I17" s="198" t="s">
        <v>70</v>
      </c>
      <c r="J17" s="189" t="s">
        <v>71</v>
      </c>
    </row>
    <row r="18" spans="1:10" ht="14.65" thickBot="1">
      <c r="A18" s="33"/>
      <c r="B18" s="33"/>
      <c r="I18" s="199" t="s">
        <v>72</v>
      </c>
      <c r="J18" s="190" t="s">
        <v>73</v>
      </c>
    </row>
  </sheetData>
  <hyperlinks>
    <hyperlink ref="D3" r:id="rId1" xr:uid="{7A4A61F9-5A0C-40C2-96FA-9E7D8C00813B}"/>
    <hyperlink ref="D4" r:id="rId2" xr:uid="{9EB5DF45-485F-4AAF-A19F-35232FBB2C80}"/>
    <hyperlink ref="D5" r:id="rId3" xr:uid="{B97D4524-7B3F-424B-BAF8-502BFE18B5A6}"/>
    <hyperlink ref="D6" r:id="rId4" xr:uid="{A40A0C6D-1029-4B79-8953-AE7864449443}"/>
  </hyperlinks>
  <pageMargins left="0.7" right="0.7" top="0.75" bottom="0.75" header="0.3" footer="0.3"/>
  <pageSetup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F00D8-B525-47C7-8C4F-115723A3B067}">
  <sheetPr codeName="Hoja3"/>
  <dimension ref="A1:U219"/>
  <sheetViews>
    <sheetView topLeftCell="J1" zoomScale="115" zoomScaleNormal="115" workbookViewId="0">
      <selection activeCell="A3" sqref="A3:XFD3"/>
    </sheetView>
  </sheetViews>
  <sheetFormatPr defaultColWidth="11.42578125" defaultRowHeight="14.25"/>
  <cols>
    <col min="2" max="2" width="43" bestFit="1" customWidth="1"/>
    <col min="3" max="3" width="11.5703125" style="33"/>
    <col min="4" max="4" width="15.28515625" style="33" bestFit="1" customWidth="1"/>
    <col min="5" max="5" width="16.7109375" style="33" bestFit="1" customWidth="1"/>
    <col min="6" max="6" width="16.7109375" style="33" customWidth="1"/>
    <col min="7" max="7" width="14.28515625" style="33" customWidth="1"/>
    <col min="8" max="8" width="19.7109375" style="33" customWidth="1"/>
    <col min="9" max="9" width="17.7109375" style="33" bestFit="1" customWidth="1"/>
    <col min="10" max="11" width="11.5703125" style="35"/>
    <col min="12" max="12" width="23.7109375" bestFit="1" customWidth="1"/>
    <col min="13" max="13" width="16.28515625" bestFit="1" customWidth="1"/>
    <col min="14" max="14" width="22.7109375" style="1" bestFit="1" customWidth="1"/>
    <col min="15" max="15" width="15.7109375" style="35" customWidth="1"/>
    <col min="16" max="16" width="24.28515625" bestFit="1" customWidth="1"/>
    <col min="17" max="17" width="25.140625" bestFit="1" customWidth="1"/>
    <col min="18" max="18" width="30.28515625" bestFit="1" customWidth="1"/>
    <col min="19" max="21" width="23.28515625" bestFit="1" customWidth="1"/>
  </cols>
  <sheetData>
    <row r="1" spans="1:21" ht="14.65" thickBot="1">
      <c r="H1" s="150" t="s">
        <v>74</v>
      </c>
      <c r="I1" s="135">
        <v>2050</v>
      </c>
      <c r="J1"/>
      <c r="K1"/>
    </row>
    <row r="2" spans="1:21" ht="14.65" thickBot="1">
      <c r="J2"/>
      <c r="K2"/>
      <c r="N2" s="19"/>
      <c r="O2" s="151"/>
    </row>
    <row r="3" spans="1:21" ht="14.65" thickBot="1">
      <c r="A3" s="152" t="s">
        <v>75</v>
      </c>
      <c r="B3" s="153"/>
      <c r="C3" s="154" t="s">
        <v>64</v>
      </c>
      <c r="D3" s="154" t="s">
        <v>76</v>
      </c>
      <c r="E3" s="154" t="s">
        <v>77</v>
      </c>
      <c r="F3" s="154" t="s">
        <v>78</v>
      </c>
      <c r="G3" s="154" t="s">
        <v>79</v>
      </c>
      <c r="H3" s="154" t="s">
        <v>80</v>
      </c>
      <c r="I3" s="154" t="s">
        <v>81</v>
      </c>
      <c r="J3" s="153" t="s">
        <v>82</v>
      </c>
      <c r="K3" s="153" t="s">
        <v>83</v>
      </c>
      <c r="L3" s="153" t="s">
        <v>84</v>
      </c>
      <c r="M3" s="153" t="s">
        <v>85</v>
      </c>
      <c r="N3" s="153" t="s">
        <v>28</v>
      </c>
      <c r="O3" s="154" t="s">
        <v>34</v>
      </c>
      <c r="P3" s="153" t="s">
        <v>38</v>
      </c>
      <c r="Q3" s="153" t="s">
        <v>42</v>
      </c>
      <c r="R3" s="153" t="s">
        <v>46</v>
      </c>
      <c r="S3" s="153" t="s">
        <v>50</v>
      </c>
      <c r="T3" s="155" t="s">
        <v>54</v>
      </c>
      <c r="U3" s="155" t="s">
        <v>58</v>
      </c>
    </row>
    <row r="4" spans="1:21" s="1" customFormat="1">
      <c r="A4" s="3">
        <v>1</v>
      </c>
      <c r="B4" s="35" t="s">
        <v>86</v>
      </c>
      <c r="C4" s="31" t="s">
        <v>87</v>
      </c>
      <c r="D4" s="145" t="s">
        <v>88</v>
      </c>
      <c r="E4" s="145"/>
      <c r="F4" s="145"/>
      <c r="G4" s="145"/>
      <c r="H4" s="146" t="s">
        <v>89</v>
      </c>
      <c r="I4" s="146"/>
      <c r="J4" s="2">
        <v>2</v>
      </c>
      <c r="K4" s="2">
        <v>1</v>
      </c>
      <c r="L4" s="5" t="s">
        <v>90</v>
      </c>
      <c r="M4" s="5" t="s">
        <v>90</v>
      </c>
      <c r="N4" s="5">
        <v>1</v>
      </c>
      <c r="O4" s="2">
        <f>85/100</f>
        <v>0.85</v>
      </c>
      <c r="P4" s="5">
        <v>1</v>
      </c>
      <c r="Q4" s="5">
        <v>1</v>
      </c>
      <c r="R4" s="5">
        <v>0</v>
      </c>
      <c r="S4" s="5">
        <v>0</v>
      </c>
      <c r="T4" s="5">
        <v>0</v>
      </c>
      <c r="U4" s="5">
        <v>0</v>
      </c>
    </row>
    <row r="5" spans="1:21">
      <c r="A5" s="3">
        <v>2</v>
      </c>
      <c r="B5" s="143" t="s">
        <v>91</v>
      </c>
      <c r="C5" s="31" t="s">
        <v>92</v>
      </c>
      <c r="D5" s="145" t="s">
        <v>89</v>
      </c>
      <c r="E5" s="145"/>
      <c r="F5" s="145"/>
      <c r="G5" s="145"/>
      <c r="H5" s="146" t="s">
        <v>88</v>
      </c>
      <c r="I5" s="146"/>
      <c r="J5" s="31">
        <v>1</v>
      </c>
      <c r="K5" s="31">
        <v>2</v>
      </c>
      <c r="L5" s="3" t="s">
        <v>90</v>
      </c>
      <c r="M5" s="3" t="s">
        <v>90</v>
      </c>
      <c r="N5" s="3">
        <v>1</v>
      </c>
      <c r="O5" s="31">
        <f>85/100</f>
        <v>0.85</v>
      </c>
      <c r="P5" s="3">
        <v>1</v>
      </c>
      <c r="Q5" s="3">
        <v>1</v>
      </c>
      <c r="R5" s="3">
        <v>0</v>
      </c>
      <c r="S5" s="3">
        <v>0</v>
      </c>
      <c r="T5" s="3">
        <v>0</v>
      </c>
      <c r="U5" s="3">
        <v>0</v>
      </c>
    </row>
    <row r="6" spans="1:21">
      <c r="A6" s="3">
        <v>3</v>
      </c>
      <c r="B6" s="143" t="s">
        <v>93</v>
      </c>
      <c r="C6" s="31" t="s">
        <v>94</v>
      </c>
      <c r="D6" s="145" t="s">
        <v>89</v>
      </c>
      <c r="E6" s="145"/>
      <c r="F6" s="145"/>
      <c r="G6" s="145"/>
      <c r="H6" s="146" t="s">
        <v>95</v>
      </c>
      <c r="I6" s="146"/>
      <c r="J6" s="31">
        <v>1</v>
      </c>
      <c r="K6" s="31">
        <v>3</v>
      </c>
      <c r="L6" s="3" t="s">
        <v>90</v>
      </c>
      <c r="M6" s="3" t="s">
        <v>90</v>
      </c>
      <c r="N6" s="3">
        <v>1</v>
      </c>
      <c r="O6" s="31">
        <f>IF(I1=2020,"No aplica",IF(I1=2025,'Electric Storage'!C7/100,IF(I1=2030,'Electric Storage'!D7/100,IF(I1=2035,'Electric Storage'!E7/100,IF(I1=2040,'Electric Storage'!F7/100,IF(I1=2045,'Electric Storage'!G7/100,'Electric Storage'!H7/100))))))</f>
        <v>0.95</v>
      </c>
      <c r="P6" s="3">
        <v>1</v>
      </c>
      <c r="Q6" s="3">
        <v>1</v>
      </c>
      <c r="R6" s="3">
        <v>0</v>
      </c>
      <c r="S6" s="3">
        <v>0</v>
      </c>
      <c r="T6" s="3">
        <v>0</v>
      </c>
      <c r="U6" s="3">
        <v>0</v>
      </c>
    </row>
    <row r="7" spans="1:21">
      <c r="A7" s="3">
        <v>4</v>
      </c>
      <c r="B7" s="143" t="s">
        <v>96</v>
      </c>
      <c r="C7" s="31" t="s">
        <v>97</v>
      </c>
      <c r="D7" s="145" t="s">
        <v>95</v>
      </c>
      <c r="E7" s="145"/>
      <c r="F7" s="145"/>
      <c r="G7" s="147"/>
      <c r="H7" s="146" t="s">
        <v>89</v>
      </c>
      <c r="I7" s="146"/>
      <c r="J7" s="31">
        <v>3</v>
      </c>
      <c r="K7" s="31">
        <v>1</v>
      </c>
      <c r="L7" s="3" t="s">
        <v>90</v>
      </c>
      <c r="M7" s="3" t="s">
        <v>90</v>
      </c>
      <c r="N7" s="3">
        <v>1</v>
      </c>
      <c r="O7" s="31">
        <f>IF(I1=2020,"No aplica",IF(I1=2025,'Electric Storage'!C7/100,IF(I1=2030,'Electric Storage'!D7/100,IF(I1=2035,'Electric Storage'!E7/100,IF(I1=2040,'Electric Storage'!F7/100,IF(I1=2045,'Electric Storage'!G7/100,'Electric Storage'!H7/100))))))</f>
        <v>0.95</v>
      </c>
      <c r="P7" s="3">
        <v>1</v>
      </c>
      <c r="Q7" s="3">
        <v>1</v>
      </c>
      <c r="R7" s="3">
        <v>0</v>
      </c>
      <c r="S7" s="3">
        <v>0</v>
      </c>
      <c r="T7" s="3">
        <v>0</v>
      </c>
      <c r="U7" s="3">
        <v>0</v>
      </c>
    </row>
    <row r="8" spans="1:21">
      <c r="A8" s="3">
        <v>5</v>
      </c>
      <c r="B8" s="143" t="s">
        <v>98</v>
      </c>
      <c r="C8" s="31" t="s">
        <v>99</v>
      </c>
      <c r="D8" s="145" t="s">
        <v>89</v>
      </c>
      <c r="E8" s="145"/>
      <c r="F8" s="145"/>
      <c r="G8" s="147"/>
      <c r="H8" s="146" t="s">
        <v>68</v>
      </c>
      <c r="I8" s="146"/>
      <c r="J8" s="31">
        <v>1</v>
      </c>
      <c r="K8" s="31">
        <v>4</v>
      </c>
      <c r="L8" s="3" t="s">
        <v>90</v>
      </c>
      <c r="M8" s="3" t="s">
        <v>90</v>
      </c>
      <c r="N8" s="3">
        <v>1</v>
      </c>
      <c r="O8" s="31">
        <f>IF(I1=2020,"No aplica",IF(I1=2025,'Electric Storage'!C61/100,IF(I1=2030,'Electric Storage'!D61/100,IF(I1=2035,'Electric Storage'!E61/100,IF(I1=2040,'Electric Storage'!F61/100,IF(I1=2045,'Electric Storage'!G61/100,'Electric Storage'!H61/100))))))</f>
        <v>0.7</v>
      </c>
      <c r="P8" s="3">
        <v>1</v>
      </c>
      <c r="Q8" s="3">
        <v>1</v>
      </c>
      <c r="R8" s="3">
        <v>0</v>
      </c>
      <c r="S8" s="3">
        <v>0</v>
      </c>
      <c r="T8" s="3">
        <v>0</v>
      </c>
      <c r="U8" s="3">
        <v>0</v>
      </c>
    </row>
    <row r="9" spans="1:21">
      <c r="A9" s="3">
        <v>6</v>
      </c>
      <c r="B9" s="143" t="s">
        <v>100</v>
      </c>
      <c r="C9" s="31" t="s">
        <v>101</v>
      </c>
      <c r="D9" s="145" t="s">
        <v>68</v>
      </c>
      <c r="E9" s="145"/>
      <c r="F9" s="145"/>
      <c r="G9" s="147"/>
      <c r="H9" s="146" t="s">
        <v>89</v>
      </c>
      <c r="I9" s="146"/>
      <c r="J9" s="31">
        <v>4</v>
      </c>
      <c r="K9" s="31">
        <v>1</v>
      </c>
      <c r="L9" s="3" t="s">
        <v>90</v>
      </c>
      <c r="M9" s="3" t="s">
        <v>90</v>
      </c>
      <c r="N9" s="3">
        <v>1</v>
      </c>
      <c r="O9" s="31">
        <f>IF(I1=2020,"No aplica",IF(I1=2025,'Electric Storage'!C61/100,IF(I1=2030,'Electric Storage'!D61/100,IF(I1=2035,'Electric Storage'!E61/100,IF(I1=2040,'Electric Storage'!F61/100,IF(I1=2045,'Electric Storage'!G61/100,'Electric Storage'!H61/100))))))</f>
        <v>0.7</v>
      </c>
      <c r="P9" s="3">
        <v>1</v>
      </c>
      <c r="Q9" s="3">
        <v>1</v>
      </c>
      <c r="R9" s="3">
        <v>0</v>
      </c>
      <c r="S9" s="3">
        <v>0</v>
      </c>
      <c r="T9" s="3">
        <v>0</v>
      </c>
      <c r="U9" s="3">
        <v>0</v>
      </c>
    </row>
    <row r="10" spans="1:21">
      <c r="A10" s="3">
        <v>7</v>
      </c>
      <c r="B10" s="143" t="s">
        <v>102</v>
      </c>
      <c r="C10" s="31" t="s">
        <v>103</v>
      </c>
      <c r="D10" s="145" t="s">
        <v>89</v>
      </c>
      <c r="E10" s="145" t="s">
        <v>104</v>
      </c>
      <c r="F10" s="145"/>
      <c r="G10" s="147"/>
      <c r="H10" s="146" t="s">
        <v>105</v>
      </c>
      <c r="I10" s="146"/>
      <c r="J10" s="31">
        <v>139</v>
      </c>
      <c r="K10" s="31">
        <v>11</v>
      </c>
      <c r="L10" s="3" t="s">
        <v>90</v>
      </c>
      <c r="M10" s="3" t="s">
        <v>106</v>
      </c>
      <c r="N10" s="3">
        <f>IF(I1=2020,"No aplica",IF(I1=2025,"No aplica",IF(I1=2030,"No aplica",IF(I1=2035,33.333*100/Electrolyzers!E5,IF(I1=2040,33.333*100/Electrolyzers!F5,IF(I1=2045,33.333*100/Electrolyzers!G5,33.333*100/Electrolyzers!H5))))))</f>
        <v>45.044594594594592</v>
      </c>
      <c r="O10" s="31" t="s">
        <v>107</v>
      </c>
      <c r="P10" s="3">
        <v>1</v>
      </c>
      <c r="Q10" s="3">
        <f>IF(I1=2020,0,IF(I1=2025,0,IF(I1=2030,0,IF(I1=2035,Electrolyzers!E6,IF(I1=2040,Electrolyzers!F6,IF(I1=2045,Electrolyzers!G6,Electrolyzers!H6))))))</f>
        <v>45.044594594594592</v>
      </c>
      <c r="R10" s="3">
        <v>0</v>
      </c>
      <c r="S10" s="3">
        <v>7.3999999999999996E-2</v>
      </c>
      <c r="T10" s="3">
        <v>0</v>
      </c>
      <c r="U10" s="3">
        <v>1</v>
      </c>
    </row>
    <row r="11" spans="1:21">
      <c r="A11" s="3">
        <v>8</v>
      </c>
      <c r="B11" s="143" t="s">
        <v>108</v>
      </c>
      <c r="C11" s="31" t="s">
        <v>109</v>
      </c>
      <c r="D11" s="145" t="s">
        <v>89</v>
      </c>
      <c r="E11" s="145" t="s">
        <v>104</v>
      </c>
      <c r="F11" s="145"/>
      <c r="G11" s="147"/>
      <c r="H11" s="146" t="s">
        <v>110</v>
      </c>
      <c r="I11" s="146"/>
      <c r="J11" s="31">
        <v>139</v>
      </c>
      <c r="K11" s="31">
        <v>10</v>
      </c>
      <c r="L11" s="3" t="s">
        <v>90</v>
      </c>
      <c r="M11" s="3" t="s">
        <v>106</v>
      </c>
      <c r="N11" s="3" t="str">
        <f>IF(I1=2030,33.333*100/Electrolyzers!D5,"No Aplica")</f>
        <v>No Aplica</v>
      </c>
      <c r="O11" s="31" t="s">
        <v>107</v>
      </c>
      <c r="P11" s="3">
        <v>1</v>
      </c>
      <c r="Q11" s="3">
        <f>IF(I1=2030,Electrolyzers!D6,0)</f>
        <v>0</v>
      </c>
      <c r="R11" s="3">
        <v>0</v>
      </c>
      <c r="S11" s="3">
        <v>7.3999999999999996E-2</v>
      </c>
      <c r="T11" s="3">
        <v>0</v>
      </c>
      <c r="U11" s="3">
        <v>1</v>
      </c>
    </row>
    <row r="12" spans="1:21">
      <c r="A12" s="3">
        <v>9</v>
      </c>
      <c r="B12" s="143" t="s">
        <v>111</v>
      </c>
      <c r="C12" s="31" t="s">
        <v>112</v>
      </c>
      <c r="D12" s="145" t="s">
        <v>89</v>
      </c>
      <c r="E12" s="145" t="s">
        <v>104</v>
      </c>
      <c r="F12" s="145"/>
      <c r="G12" s="147"/>
      <c r="H12" s="146" t="s">
        <v>113</v>
      </c>
      <c r="I12" s="146"/>
      <c r="J12" s="31">
        <v>139</v>
      </c>
      <c r="K12" s="31">
        <v>9</v>
      </c>
      <c r="L12" s="3" t="s">
        <v>90</v>
      </c>
      <c r="M12" s="3" t="s">
        <v>106</v>
      </c>
      <c r="N12" s="3" t="str">
        <f>IF(I1=2025,33.333*100/Electrolyzers!C5,"No Aplica")</f>
        <v>No Aplica</v>
      </c>
      <c r="O12" s="31" t="s">
        <v>107</v>
      </c>
      <c r="P12" s="3">
        <v>1</v>
      </c>
      <c r="Q12" s="3">
        <f>IF(I1=2025,Electrolyzers!C6,0)</f>
        <v>0</v>
      </c>
      <c r="R12" s="3">
        <v>0</v>
      </c>
      <c r="S12" s="3">
        <v>7.3999999999999996E-2</v>
      </c>
      <c r="T12" s="3">
        <v>0</v>
      </c>
      <c r="U12" s="3">
        <v>1</v>
      </c>
    </row>
    <row r="13" spans="1:21">
      <c r="A13" s="3">
        <v>10</v>
      </c>
      <c r="B13" s="143" t="s">
        <v>114</v>
      </c>
      <c r="C13" s="31" t="s">
        <v>115</v>
      </c>
      <c r="D13" s="145" t="s">
        <v>89</v>
      </c>
      <c r="E13" s="145" t="s">
        <v>104</v>
      </c>
      <c r="F13" s="145"/>
      <c r="G13" s="147"/>
      <c r="H13" s="146" t="s">
        <v>110</v>
      </c>
      <c r="I13" s="146"/>
      <c r="J13" s="31">
        <v>139</v>
      </c>
      <c r="K13" s="31">
        <v>10</v>
      </c>
      <c r="L13" s="3" t="s">
        <v>90</v>
      </c>
      <c r="M13" s="3" t="s">
        <v>106</v>
      </c>
      <c r="N13" s="3">
        <f>IF(I1=2020,"No aplica",IF(I1=2025,"No aplica",IF(I1=2030,"No aplica",IF(I1=2035,"No aplica",IF(I1=2040,"No aplica",IF(I1=2045,33.333*100/Electrolyzers!G23,33.333*100/Electrolyzers!H23))))))</f>
        <v>41.666249999999998</v>
      </c>
      <c r="O13" s="31" t="s">
        <v>107</v>
      </c>
      <c r="P13" s="3">
        <v>1</v>
      </c>
      <c r="Q13" s="3">
        <f>IF(I1=2020,0,IF(I1=2025,0,IF(I1=2030,0,IF(I1=2035,0,IF(I1=2040,0,IF(I1=2045,Electrolyzers!G24,Electrolyzers!H24))))))</f>
        <v>41.666249999999998</v>
      </c>
      <c r="R13" s="3">
        <v>0</v>
      </c>
      <c r="S13" s="3">
        <v>7.3999999999999996E-2</v>
      </c>
      <c r="T13" s="3">
        <v>0</v>
      </c>
      <c r="U13" s="3">
        <v>1</v>
      </c>
    </row>
    <row r="14" spans="1:21">
      <c r="A14" s="3">
        <v>11</v>
      </c>
      <c r="B14" s="143" t="s">
        <v>116</v>
      </c>
      <c r="C14" s="31" t="s">
        <v>117</v>
      </c>
      <c r="D14" s="145" t="s">
        <v>89</v>
      </c>
      <c r="E14" s="145" t="s">
        <v>104</v>
      </c>
      <c r="F14" s="145"/>
      <c r="G14" s="147"/>
      <c r="H14" s="146" t="s">
        <v>118</v>
      </c>
      <c r="I14" s="146"/>
      <c r="J14" s="31">
        <v>139</v>
      </c>
      <c r="K14" s="31">
        <v>8</v>
      </c>
      <c r="L14" s="3" t="s">
        <v>90</v>
      </c>
      <c r="M14" s="3" t="s">
        <v>106</v>
      </c>
      <c r="N14" s="3" t="str">
        <f>IF(I1=2020,"No aplica",IF(I1=2025,"No aplica",IF(I1=2030,33.333*100/Electrolyzers!D23,IF(I1=2035,33.333*100/Electrolyzers!E23,IF(I1=2040,"No aplica",IF(I1=2045,"No aplica","No aplica"))))))</f>
        <v>No aplica</v>
      </c>
      <c r="O14" s="31" t="s">
        <v>107</v>
      </c>
      <c r="P14" s="3">
        <v>1</v>
      </c>
      <c r="Q14" s="3">
        <f>IF(I1=2020,0,IF(I1=2025,0,IF(I1=2030,Electrolyzers!D24,IF(I1=2035,Electrolyzers!E24,IF(I1=2040,0,IF(I1=2045,0,0))))))</f>
        <v>0</v>
      </c>
      <c r="R14" s="3">
        <v>0</v>
      </c>
      <c r="S14" s="3">
        <v>7.3999999999999996E-2</v>
      </c>
      <c r="T14" s="3">
        <v>0</v>
      </c>
      <c r="U14" s="3">
        <v>1</v>
      </c>
    </row>
    <row r="15" spans="1:21">
      <c r="A15" s="3">
        <v>12</v>
      </c>
      <c r="B15" s="143" t="s">
        <v>119</v>
      </c>
      <c r="C15" s="31" t="s">
        <v>120</v>
      </c>
      <c r="D15" s="145" t="s">
        <v>89</v>
      </c>
      <c r="E15" s="145" t="s">
        <v>104</v>
      </c>
      <c r="F15" s="145"/>
      <c r="G15" s="147"/>
      <c r="H15" s="146" t="s">
        <v>121</v>
      </c>
      <c r="I15" s="146"/>
      <c r="J15" s="31">
        <v>139</v>
      </c>
      <c r="K15" s="31">
        <v>7</v>
      </c>
      <c r="L15" s="3" t="s">
        <v>90</v>
      </c>
      <c r="M15" s="3" t="s">
        <v>106</v>
      </c>
      <c r="N15" s="3" t="str">
        <f>IF(I1=2025,33.333*100/Electrolyzers!C23,"No Aplica")</f>
        <v>No Aplica</v>
      </c>
      <c r="O15" s="31" t="s">
        <v>107</v>
      </c>
      <c r="P15" s="3">
        <v>1</v>
      </c>
      <c r="Q15" s="3">
        <f>IF(I1=2025,Electrolyzers!C24,0)</f>
        <v>0</v>
      </c>
      <c r="R15" s="3">
        <v>0</v>
      </c>
      <c r="S15" s="3">
        <v>7.3999999999999996E-2</v>
      </c>
      <c r="T15" s="3">
        <v>0</v>
      </c>
      <c r="U15" s="3">
        <v>1</v>
      </c>
    </row>
    <row r="16" spans="1:21">
      <c r="A16" s="3">
        <v>13</v>
      </c>
      <c r="B16" s="143" t="s">
        <v>122</v>
      </c>
      <c r="C16" s="31" t="s">
        <v>123</v>
      </c>
      <c r="D16" s="145" t="s">
        <v>89</v>
      </c>
      <c r="E16" s="145" t="s">
        <v>104</v>
      </c>
      <c r="F16" s="145"/>
      <c r="G16" s="147"/>
      <c r="H16" s="146" t="s">
        <v>124</v>
      </c>
      <c r="I16" s="146"/>
      <c r="J16" s="31">
        <v>139</v>
      </c>
      <c r="K16" s="31">
        <v>16</v>
      </c>
      <c r="L16" s="3" t="s">
        <v>125</v>
      </c>
      <c r="M16" s="3" t="s">
        <v>106</v>
      </c>
      <c r="N16" s="3">
        <f>IF(I1=2020,"No aplica",IF(I1=2025,33.333*100/Electrolyzers!C41,IF(I1=2030,33.333*100/Electrolyzers!D41,IF(I1=2035,33.333*100/Electrolyzers!E41,IF(I1=2040,33.333*100/Electrolyzers!F41,IF(I1=2045,33.333*100/Electrolyzers!G41,33.333*100/Electrolyzers!H41))))))</f>
        <v>45.044594594594592</v>
      </c>
      <c r="O16" s="31" t="s">
        <v>107</v>
      </c>
      <c r="P16" s="3">
        <v>0.95</v>
      </c>
      <c r="Q16" s="3">
        <f>IF(I1=2020,0,IF(I1=2025,Electrolyzers!C42+Electrolyzers!C81,IF(I1=2030,Electrolyzers!D42+Electrolyzers!D82,IF(I1=2035,Electrolyzers!E42+Electrolyzers!E83,IF(I1=2040,Electrolyzers!F42+Electrolyzers!F83,IF(I1=2045,Electrolyzers!G42+Electrolyzers!G83,Electrolyzers!H42+Electrolyzers!H83))))))</f>
        <v>46.263294594594591</v>
      </c>
      <c r="R16" s="3">
        <v>0</v>
      </c>
      <c r="S16" s="3">
        <v>7.3999999999999996E-2</v>
      </c>
      <c r="T16" s="3">
        <v>0</v>
      </c>
      <c r="U16" s="3">
        <v>1</v>
      </c>
    </row>
    <row r="17" spans="1:21">
      <c r="A17" s="3">
        <v>14</v>
      </c>
      <c r="B17" s="143" t="s">
        <v>126</v>
      </c>
      <c r="C17" s="31" t="s">
        <v>127</v>
      </c>
      <c r="D17" s="145" t="s">
        <v>89</v>
      </c>
      <c r="E17" s="145" t="s">
        <v>104</v>
      </c>
      <c r="F17" s="145"/>
      <c r="G17" s="147"/>
      <c r="H17" s="146" t="s">
        <v>124</v>
      </c>
      <c r="I17" s="146"/>
      <c r="J17" s="31">
        <v>139</v>
      </c>
      <c r="K17" s="31">
        <v>16</v>
      </c>
      <c r="L17" s="3" t="s">
        <v>125</v>
      </c>
      <c r="M17" s="3" t="s">
        <v>106</v>
      </c>
      <c r="N17" s="3">
        <f>IF(I1=2020,"No aplica",IF(I1=2025,33.333*100/Electrolyzers!C59,IF(I1=2030,33.333*100/Electrolyzers!D59,IF(I1=2035,33.333*100/Electrolyzers!E59,IF(I1=2040,33.333*100/Electrolyzers!F59,IF(I1=2045,33.333*100/Electrolyzers!G59,33.333*100/Electrolyzers!H59))))))</f>
        <v>41.666249999999998</v>
      </c>
      <c r="O17" s="31" t="s">
        <v>107</v>
      </c>
      <c r="P17" s="3">
        <v>0.95</v>
      </c>
      <c r="Q17" s="3">
        <f>IF(I1=2020,0,IF(I1=2025,Electrolyzers!C60+Electrolyzers!C79,IF(I1=2030,Electrolyzers!D60+Electrolyzers!D80,IF(I1=2035,Electrolyzers!E60+Electrolyzers!E80,IF(I1=2040,Electrolyzers!F60+Electrolyzers!F80,IF(I1=2045,Electrolyzers!G60+Electrolyzers!G82,Electrolyzers!H60+Electrolyzers!H82))))))</f>
        <v>42.93497</v>
      </c>
      <c r="R17" s="3">
        <v>0</v>
      </c>
      <c r="S17" s="3">
        <v>7.3999999999999996E-2</v>
      </c>
      <c r="T17" s="3">
        <v>0</v>
      </c>
      <c r="U17" s="3">
        <v>1</v>
      </c>
    </row>
    <row r="18" spans="1:21">
      <c r="A18" s="3">
        <v>15</v>
      </c>
      <c r="B18" s="143" t="s">
        <v>128</v>
      </c>
      <c r="C18" s="31" t="s">
        <v>129</v>
      </c>
      <c r="D18" s="145" t="s">
        <v>89</v>
      </c>
      <c r="E18" s="145" t="s">
        <v>130</v>
      </c>
      <c r="F18" s="145"/>
      <c r="G18" s="147"/>
      <c r="H18" s="146" t="s">
        <v>121</v>
      </c>
      <c r="I18" s="146"/>
      <c r="J18" s="31">
        <v>61</v>
      </c>
      <c r="K18" s="31">
        <v>7</v>
      </c>
      <c r="L18" s="3" t="s">
        <v>131</v>
      </c>
      <c r="M18" s="3" t="s">
        <v>106</v>
      </c>
      <c r="N18" s="3">
        <v>33.332999999999998</v>
      </c>
      <c r="O18" s="31" t="s">
        <v>107</v>
      </c>
      <c r="P18" s="3">
        <v>0.95</v>
      </c>
      <c r="Q18" s="3">
        <f>IF($I$1=2020,0,IF($I$1=2025,Conversion!C6,IF($I$1=2030,Conversion!D6,IF($I$1=2035,Conversion!E6,IF($I$1=2040,Conversion!F6,IF($I$1=2045,Conversion!G6,Conversion!H6))))))</f>
        <v>0.39100000000000001</v>
      </c>
      <c r="R18" s="3">
        <v>0</v>
      </c>
      <c r="S18" s="3">
        <v>0</v>
      </c>
      <c r="T18" s="3">
        <v>0</v>
      </c>
      <c r="U18" s="3">
        <v>1</v>
      </c>
    </row>
    <row r="19" spans="1:21">
      <c r="A19" s="3">
        <v>16</v>
      </c>
      <c r="B19" s="143" t="s">
        <v>132</v>
      </c>
      <c r="C19" s="31" t="s">
        <v>133</v>
      </c>
      <c r="D19" s="145" t="s">
        <v>89</v>
      </c>
      <c r="E19" s="145" t="s">
        <v>130</v>
      </c>
      <c r="F19" s="145"/>
      <c r="G19" s="147"/>
      <c r="H19" s="146" t="s">
        <v>118</v>
      </c>
      <c r="I19" s="146"/>
      <c r="J19" s="31">
        <v>61</v>
      </c>
      <c r="K19" s="31">
        <v>8</v>
      </c>
      <c r="L19" s="3" t="s">
        <v>131</v>
      </c>
      <c r="M19" s="3" t="s">
        <v>106</v>
      </c>
      <c r="N19" s="3">
        <v>33.332999999999998</v>
      </c>
      <c r="O19" s="31" t="s">
        <v>107</v>
      </c>
      <c r="P19" s="3">
        <v>0.95</v>
      </c>
      <c r="Q19" s="3">
        <f>IF($I$1=2020,0,IF($I$1=2025,Conversion!C7,IF($I$1=2030,Conversion!D7,IF($I$1=2035,Conversion!E7,IF($I$1=2040,Conversion!F7,IF($I$1=2045,Conversion!G7,Conversion!H7))))))</f>
        <v>0.56192299999999995</v>
      </c>
      <c r="R19" s="3">
        <v>0</v>
      </c>
      <c r="S19" s="3">
        <v>0</v>
      </c>
      <c r="T19" s="3">
        <v>0</v>
      </c>
      <c r="U19" s="3">
        <v>1</v>
      </c>
    </row>
    <row r="20" spans="1:21">
      <c r="A20" s="3">
        <v>17</v>
      </c>
      <c r="B20" s="143" t="s">
        <v>134</v>
      </c>
      <c r="C20" s="31" t="s">
        <v>135</v>
      </c>
      <c r="D20" s="145" t="s">
        <v>89</v>
      </c>
      <c r="E20" s="145" t="s">
        <v>130</v>
      </c>
      <c r="F20" s="145"/>
      <c r="G20" s="147"/>
      <c r="H20" s="146" t="s">
        <v>113</v>
      </c>
      <c r="I20" s="146"/>
      <c r="J20" s="31">
        <v>61</v>
      </c>
      <c r="K20" s="31">
        <v>9</v>
      </c>
      <c r="L20" s="3" t="s">
        <v>131</v>
      </c>
      <c r="M20" s="3" t="s">
        <v>106</v>
      </c>
      <c r="N20" s="3">
        <v>33.332999999999998</v>
      </c>
      <c r="O20" s="31" t="s">
        <v>107</v>
      </c>
      <c r="P20" s="3">
        <v>0.95</v>
      </c>
      <c r="Q20" s="3">
        <f>IF($I$1=2020,0,IF($I$1=2025,Conversion!C8,IF($I$1=2030,Conversion!D8,IF($I$1=2035,Conversion!E8,IF($I$1=2040,Conversion!F8,IF($I$1=2045,Conversion!G8,Conversion!H8))))))</f>
        <v>0.77729999999999999</v>
      </c>
      <c r="R20" s="3">
        <v>0</v>
      </c>
      <c r="S20" s="3">
        <v>0</v>
      </c>
      <c r="T20" s="3">
        <v>0</v>
      </c>
      <c r="U20" s="3">
        <v>1</v>
      </c>
    </row>
    <row r="21" spans="1:21">
      <c r="A21" s="3">
        <v>18</v>
      </c>
      <c r="B21" s="143" t="s">
        <v>136</v>
      </c>
      <c r="C21" s="31" t="s">
        <v>137</v>
      </c>
      <c r="D21" s="145" t="s">
        <v>89</v>
      </c>
      <c r="E21" s="145" t="s">
        <v>130</v>
      </c>
      <c r="F21" s="145"/>
      <c r="G21" s="147"/>
      <c r="H21" s="146" t="s">
        <v>110</v>
      </c>
      <c r="I21" s="146"/>
      <c r="J21" s="31">
        <v>61</v>
      </c>
      <c r="K21" s="31">
        <v>10</v>
      </c>
      <c r="L21" s="3" t="s">
        <v>131</v>
      </c>
      <c r="M21" s="3" t="s">
        <v>106</v>
      </c>
      <c r="N21" s="3">
        <v>33.332999999999998</v>
      </c>
      <c r="O21" s="31" t="s">
        <v>107</v>
      </c>
      <c r="P21" s="3">
        <v>0.95</v>
      </c>
      <c r="Q21" s="3">
        <f>IF($I$1=2020,0,IF($I$1=2025,Conversion!C9,IF($I$1=2030,Conversion!D9,IF($I$1=2035,Conversion!E9,IF($I$1=2040,Conversion!F9,IF($I$1=2045,Conversion!G9,Conversion!H9))))))</f>
        <v>0.83233400000000002</v>
      </c>
      <c r="R21" s="3">
        <v>0</v>
      </c>
      <c r="S21" s="3">
        <v>0</v>
      </c>
      <c r="T21" s="3">
        <v>0</v>
      </c>
      <c r="U21" s="3">
        <v>1</v>
      </c>
    </row>
    <row r="22" spans="1:21">
      <c r="A22" s="3">
        <v>19</v>
      </c>
      <c r="B22" s="143" t="s">
        <v>138</v>
      </c>
      <c r="C22" s="31" t="s">
        <v>139</v>
      </c>
      <c r="D22" s="145" t="s">
        <v>89</v>
      </c>
      <c r="E22" s="145" t="s">
        <v>130</v>
      </c>
      <c r="F22" s="145"/>
      <c r="G22" s="147"/>
      <c r="H22" s="146" t="s">
        <v>105</v>
      </c>
      <c r="I22" s="146"/>
      <c r="J22" s="31">
        <v>61</v>
      </c>
      <c r="K22" s="31">
        <v>11</v>
      </c>
      <c r="L22" s="3" t="s">
        <v>131</v>
      </c>
      <c r="M22" s="3" t="s">
        <v>106</v>
      </c>
      <c r="N22" s="3">
        <v>33.332999999999998</v>
      </c>
      <c r="O22" s="31" t="s">
        <v>107</v>
      </c>
      <c r="P22" s="3">
        <v>0.95</v>
      </c>
      <c r="Q22" s="3">
        <f>IF($I$1=2020,0,IF($I$1=2025,Conversion!C10,IF($I$1=2030,Conversion!D10,IF($I$1=2035,Conversion!E10,IF($I$1=2040,Conversion!F10,IF($I$1=2045,Conversion!G10,Conversion!H10))))))</f>
        <v>0.88235600000000003</v>
      </c>
      <c r="R22" s="3">
        <v>0</v>
      </c>
      <c r="S22" s="3">
        <v>0</v>
      </c>
      <c r="T22" s="3">
        <v>0</v>
      </c>
      <c r="U22" s="3">
        <v>1</v>
      </c>
    </row>
    <row r="23" spans="1:21">
      <c r="A23" s="3">
        <v>20</v>
      </c>
      <c r="B23" s="143" t="s">
        <v>140</v>
      </c>
      <c r="C23" s="31" t="s">
        <v>141</v>
      </c>
      <c r="D23" s="145" t="s">
        <v>89</v>
      </c>
      <c r="E23" s="145" t="s">
        <v>130</v>
      </c>
      <c r="F23" s="145"/>
      <c r="G23" s="147"/>
      <c r="H23" s="146" t="s">
        <v>142</v>
      </c>
      <c r="I23" s="146"/>
      <c r="J23" s="31">
        <v>61</v>
      </c>
      <c r="K23" s="31">
        <v>12</v>
      </c>
      <c r="L23" s="3" t="s">
        <v>131</v>
      </c>
      <c r="M23" s="3" t="s">
        <v>106</v>
      </c>
      <c r="N23" s="3">
        <v>33.332999999999998</v>
      </c>
      <c r="O23" s="31" t="s">
        <v>107</v>
      </c>
      <c r="P23" s="3">
        <v>0.95</v>
      </c>
      <c r="Q23" s="3">
        <f>IF($I$1=2020,0,IF($I$1=2025,Conversion!C11,IF($I$1=2030,Conversion!D11,IF($I$1=2035,Conversion!E11,IF($I$1=2040,Conversion!F11,IF($I$1=2045,Conversion!G11,Conversion!H11))))))</f>
        <v>1.1180000000000001</v>
      </c>
      <c r="R23" s="3">
        <v>0</v>
      </c>
      <c r="S23" s="3">
        <v>0</v>
      </c>
      <c r="T23" s="3">
        <v>0</v>
      </c>
      <c r="U23" s="3">
        <v>1</v>
      </c>
    </row>
    <row r="24" spans="1:21">
      <c r="A24" s="3">
        <v>21</v>
      </c>
      <c r="B24" s="143" t="s">
        <v>143</v>
      </c>
      <c r="C24" s="31" t="s">
        <v>144</v>
      </c>
      <c r="D24" s="145" t="s">
        <v>89</v>
      </c>
      <c r="E24" s="145" t="s">
        <v>130</v>
      </c>
      <c r="F24" s="145"/>
      <c r="G24" s="147"/>
      <c r="H24" s="146" t="s">
        <v>145</v>
      </c>
      <c r="I24" s="146"/>
      <c r="J24" s="31">
        <v>61</v>
      </c>
      <c r="K24" s="31">
        <v>13</v>
      </c>
      <c r="L24" s="3" t="s">
        <v>131</v>
      </c>
      <c r="M24" s="3" t="s">
        <v>106</v>
      </c>
      <c r="N24" s="3">
        <v>33.332999999999998</v>
      </c>
      <c r="O24" s="31" t="s">
        <v>107</v>
      </c>
      <c r="P24" s="3">
        <v>0.95</v>
      </c>
      <c r="Q24" s="3">
        <f>IF($I$1=2020,0,IF($I$1=2025,Conversion!C12,IF($I$1=2030,Conversion!D12,IF($I$1=2035,Conversion!E12,IF($I$1=2040,Conversion!F12,IF($I$1=2045,Conversion!G12,Conversion!H12))))))</f>
        <v>1.2927999999999999</v>
      </c>
      <c r="R24" s="3">
        <v>0</v>
      </c>
      <c r="S24" s="3">
        <v>0</v>
      </c>
      <c r="T24" s="3">
        <v>0</v>
      </c>
      <c r="U24" s="3">
        <v>1</v>
      </c>
    </row>
    <row r="25" spans="1:21">
      <c r="A25" s="3">
        <v>22</v>
      </c>
      <c r="B25" s="143" t="s">
        <v>146</v>
      </c>
      <c r="C25" s="31" t="s">
        <v>147</v>
      </c>
      <c r="D25" s="145" t="s">
        <v>89</v>
      </c>
      <c r="E25" s="145" t="s">
        <v>121</v>
      </c>
      <c r="F25" s="145"/>
      <c r="G25" s="147"/>
      <c r="H25" s="146" t="s">
        <v>118</v>
      </c>
      <c r="I25" s="146"/>
      <c r="J25" s="31">
        <v>71</v>
      </c>
      <c r="K25" s="31">
        <v>8</v>
      </c>
      <c r="L25" s="3" t="s">
        <v>131</v>
      </c>
      <c r="M25" s="3" t="s">
        <v>106</v>
      </c>
      <c r="N25" s="3">
        <v>33.332999999999998</v>
      </c>
      <c r="O25" s="31" t="s">
        <v>107</v>
      </c>
      <c r="P25" s="3">
        <v>0.95</v>
      </c>
      <c r="Q25" s="3">
        <f>IF($I$1=2020,0,IF($I$1=2025,Conversion!C13,IF($I$1=2030,Conversion!D13,IF($I$1=2035,Conversion!E13,IF($I$1=2040,Conversion!F13,IF($I$1=2045,Conversion!G13,Conversion!H13))))))</f>
        <v>0.17093700000000001</v>
      </c>
      <c r="R25" s="3">
        <v>0</v>
      </c>
      <c r="S25" s="3">
        <v>0</v>
      </c>
      <c r="T25" s="3">
        <v>0</v>
      </c>
      <c r="U25" s="3">
        <v>1</v>
      </c>
    </row>
    <row r="26" spans="1:21">
      <c r="A26" s="3">
        <v>23</v>
      </c>
      <c r="B26" s="143" t="s">
        <v>148</v>
      </c>
      <c r="C26" s="31" t="s">
        <v>149</v>
      </c>
      <c r="D26" s="145" t="s">
        <v>89</v>
      </c>
      <c r="E26" s="145" t="s">
        <v>121</v>
      </c>
      <c r="F26" s="145"/>
      <c r="G26" s="147"/>
      <c r="H26" s="146" t="s">
        <v>113</v>
      </c>
      <c r="I26" s="146"/>
      <c r="J26" s="31">
        <v>71</v>
      </c>
      <c r="K26" s="31">
        <v>9</v>
      </c>
      <c r="L26" s="3" t="s">
        <v>131</v>
      </c>
      <c r="M26" s="3" t="s">
        <v>106</v>
      </c>
      <c r="N26" s="3">
        <v>33.332999999999998</v>
      </c>
      <c r="O26" s="31" t="s">
        <v>107</v>
      </c>
      <c r="P26" s="3">
        <v>0.95</v>
      </c>
      <c r="Q26" s="3">
        <f>IF($I$1=2020,0,IF($I$1=2025,Conversion!C14,IF($I$1=2030,Conversion!D14,IF($I$1=2035,Conversion!E14,IF($I$1=2040,Conversion!F14,IF($I$1=2045,Conversion!G14,Conversion!H14))))))</f>
        <v>0.38630399999999998</v>
      </c>
      <c r="R26" s="3">
        <v>0</v>
      </c>
      <c r="S26" s="3">
        <v>0</v>
      </c>
      <c r="T26" s="3">
        <v>0</v>
      </c>
      <c r="U26" s="3">
        <v>1</v>
      </c>
    </row>
    <row r="27" spans="1:21">
      <c r="A27" s="3">
        <v>24</v>
      </c>
      <c r="B27" s="143" t="s">
        <v>150</v>
      </c>
      <c r="C27" s="31" t="s">
        <v>151</v>
      </c>
      <c r="D27" s="145" t="s">
        <v>89</v>
      </c>
      <c r="E27" s="145" t="s">
        <v>121</v>
      </c>
      <c r="F27" s="145"/>
      <c r="G27" s="147"/>
      <c r="H27" s="146" t="s">
        <v>110</v>
      </c>
      <c r="I27" s="146"/>
      <c r="J27" s="31">
        <v>71</v>
      </c>
      <c r="K27" s="31">
        <v>10</v>
      </c>
      <c r="L27" s="3" t="s">
        <v>131</v>
      </c>
      <c r="M27" s="3" t="s">
        <v>106</v>
      </c>
      <c r="N27" s="3">
        <v>33.332999999999998</v>
      </c>
      <c r="O27" s="31" t="s">
        <v>107</v>
      </c>
      <c r="P27" s="3">
        <v>0.95</v>
      </c>
      <c r="Q27" s="3">
        <f>IF($I$1=2020,0,IF($I$1=2025,Conversion!C15,IF($I$1=2030,Conversion!D15,IF($I$1=2035,Conversion!E15,IF($I$1=2040,Conversion!F15,IF($I$1=2045,Conversion!G15,Conversion!H15))))))</f>
        <v>0.44135000000000002</v>
      </c>
      <c r="R27" s="3">
        <v>0</v>
      </c>
      <c r="S27" s="3">
        <v>0</v>
      </c>
      <c r="T27" s="3">
        <v>0</v>
      </c>
      <c r="U27" s="3">
        <v>1</v>
      </c>
    </row>
    <row r="28" spans="1:21">
      <c r="A28" s="3">
        <v>25</v>
      </c>
      <c r="B28" s="143" t="s">
        <v>152</v>
      </c>
      <c r="C28" s="31" t="s">
        <v>153</v>
      </c>
      <c r="D28" s="145" t="s">
        <v>89</v>
      </c>
      <c r="E28" s="145" t="s">
        <v>121</v>
      </c>
      <c r="F28" s="145"/>
      <c r="G28" s="147"/>
      <c r="H28" s="146" t="s">
        <v>105</v>
      </c>
      <c r="I28" s="146"/>
      <c r="J28" s="31">
        <v>71</v>
      </c>
      <c r="K28" s="31">
        <v>11</v>
      </c>
      <c r="L28" s="3" t="s">
        <v>131</v>
      </c>
      <c r="M28" s="3" t="s">
        <v>106</v>
      </c>
      <c r="N28" s="3">
        <v>33.332999999999998</v>
      </c>
      <c r="O28" s="31" t="s">
        <v>107</v>
      </c>
      <c r="P28" s="3">
        <v>0.95</v>
      </c>
      <c r="Q28" s="3">
        <f>IF($I$1=2020,0,IF($I$1=2025,Conversion!C16,IF($I$1=2030,Conversion!D16,IF($I$1=2035,Conversion!E16,IF($I$1=2040,Conversion!F16,IF($I$1=2045,Conversion!G16,Conversion!H16))))))</f>
        <v>0.49136999999999997</v>
      </c>
      <c r="R28" s="3">
        <v>0</v>
      </c>
      <c r="S28" s="3">
        <v>0</v>
      </c>
      <c r="T28" s="3">
        <v>0</v>
      </c>
      <c r="U28" s="3">
        <v>1</v>
      </c>
    </row>
    <row r="29" spans="1:21">
      <c r="A29" s="3">
        <v>26</v>
      </c>
      <c r="B29" s="143" t="s">
        <v>154</v>
      </c>
      <c r="C29" s="31" t="s">
        <v>155</v>
      </c>
      <c r="D29" s="145" t="s">
        <v>89</v>
      </c>
      <c r="E29" s="145" t="s">
        <v>121</v>
      </c>
      <c r="F29" s="145"/>
      <c r="G29" s="147"/>
      <c r="H29" s="146" t="s">
        <v>142</v>
      </c>
      <c r="I29" s="146"/>
      <c r="J29" s="31">
        <v>71</v>
      </c>
      <c r="K29" s="31">
        <v>12</v>
      </c>
      <c r="L29" s="3" t="s">
        <v>131</v>
      </c>
      <c r="M29" s="3" t="s">
        <v>106</v>
      </c>
      <c r="N29" s="3">
        <v>33.332999999999998</v>
      </c>
      <c r="O29" s="31" t="s">
        <v>107</v>
      </c>
      <c r="P29" s="3">
        <v>0.95</v>
      </c>
      <c r="Q29" s="3">
        <f>IF($I$1=2020,0,IF($I$1=2025,Conversion!C17,IF($I$1=2030,Conversion!D17,IF($I$1=2035,Conversion!E17,IF($I$1=2040,Conversion!F17,IF($I$1=2045,Conversion!G17,Conversion!H17))))))</f>
        <v>0.72699999999999998</v>
      </c>
      <c r="R29" s="3">
        <v>0</v>
      </c>
      <c r="S29" s="3">
        <v>0</v>
      </c>
      <c r="T29" s="3">
        <v>0</v>
      </c>
      <c r="U29" s="3">
        <v>1</v>
      </c>
    </row>
    <row r="30" spans="1:21">
      <c r="A30" s="3">
        <v>27</v>
      </c>
      <c r="B30" s="143" t="s">
        <v>156</v>
      </c>
      <c r="C30" s="31" t="s">
        <v>157</v>
      </c>
      <c r="D30" s="145" t="s">
        <v>89</v>
      </c>
      <c r="E30" s="145" t="s">
        <v>121</v>
      </c>
      <c r="F30" s="145"/>
      <c r="G30" s="147"/>
      <c r="H30" s="146" t="s">
        <v>145</v>
      </c>
      <c r="I30" s="146"/>
      <c r="J30" s="31">
        <v>71</v>
      </c>
      <c r="K30" s="31">
        <v>13</v>
      </c>
      <c r="L30" s="3" t="s">
        <v>131</v>
      </c>
      <c r="M30" s="3" t="s">
        <v>106</v>
      </c>
      <c r="N30" s="3">
        <v>33.332999999999998</v>
      </c>
      <c r="O30" s="31" t="s">
        <v>107</v>
      </c>
      <c r="P30" s="3">
        <v>0.95</v>
      </c>
      <c r="Q30" s="3">
        <f>IF($I$1=2020,0,IF($I$1=2025,Conversion!C18,IF($I$1=2030,Conversion!D18,IF($I$1=2035,Conversion!E18,IF($I$1=2040,Conversion!F18,IF($I$1=2045,Conversion!G18,Conversion!H18))))))</f>
        <v>0.90181100000000003</v>
      </c>
      <c r="R30" s="3">
        <v>0</v>
      </c>
      <c r="S30" s="3">
        <v>0</v>
      </c>
      <c r="T30" s="3">
        <v>0</v>
      </c>
      <c r="U30" s="3">
        <v>1</v>
      </c>
    </row>
    <row r="31" spans="1:21">
      <c r="A31" s="3">
        <v>28</v>
      </c>
      <c r="B31" s="143" t="s">
        <v>158</v>
      </c>
      <c r="C31" s="31" t="s">
        <v>159</v>
      </c>
      <c r="D31" s="145" t="s">
        <v>89</v>
      </c>
      <c r="E31" s="145" t="s">
        <v>118</v>
      </c>
      <c r="F31" s="145"/>
      <c r="G31" s="147"/>
      <c r="H31" s="146" t="s">
        <v>113</v>
      </c>
      <c r="I31" s="146"/>
      <c r="J31" s="31">
        <v>81</v>
      </c>
      <c r="K31" s="31">
        <v>9</v>
      </c>
      <c r="L31" s="3" t="s">
        <v>131</v>
      </c>
      <c r="M31" s="3" t="s">
        <v>106</v>
      </c>
      <c r="N31" s="3">
        <v>33.332999999999998</v>
      </c>
      <c r="O31" s="31" t="s">
        <v>107</v>
      </c>
      <c r="P31" s="3">
        <v>0.95</v>
      </c>
      <c r="Q31" s="3">
        <f>IF($I$1=2020,0,IF($I$1=2025,Conversion!C19,IF($I$1=2030,Conversion!D19,IF($I$1=2035,Conversion!E19,IF($I$1=2040,Conversion!F19,IF($I$1=2045,Conversion!G19,Conversion!H19))))))</f>
        <v>0.215367</v>
      </c>
      <c r="R31" s="3">
        <v>0</v>
      </c>
      <c r="S31" s="3">
        <v>0</v>
      </c>
      <c r="T31" s="3">
        <v>0</v>
      </c>
      <c r="U31" s="3">
        <v>1</v>
      </c>
    </row>
    <row r="32" spans="1:21">
      <c r="A32" s="3">
        <v>29</v>
      </c>
      <c r="B32" s="143" t="s">
        <v>160</v>
      </c>
      <c r="C32" s="31" t="s">
        <v>161</v>
      </c>
      <c r="D32" s="145" t="s">
        <v>89</v>
      </c>
      <c r="E32" s="145" t="s">
        <v>118</v>
      </c>
      <c r="F32" s="145"/>
      <c r="G32" s="147"/>
      <c r="H32" s="146" t="s">
        <v>110</v>
      </c>
      <c r="I32" s="146"/>
      <c r="J32" s="31">
        <v>81</v>
      </c>
      <c r="K32" s="31">
        <v>10</v>
      </c>
      <c r="L32" s="3" t="s">
        <v>131</v>
      </c>
      <c r="M32" s="3" t="s">
        <v>106</v>
      </c>
      <c r="N32" s="3">
        <v>33.332999999999998</v>
      </c>
      <c r="O32" s="31" t="s">
        <v>107</v>
      </c>
      <c r="P32" s="3">
        <v>0.95</v>
      </c>
      <c r="Q32" s="3">
        <f>IF($I$1=2020,0,IF($I$1=2025,Conversion!C20,IF($I$1=2030,Conversion!D20,IF($I$1=2035,Conversion!E20,IF($I$1=2040,Conversion!F20,IF($I$1=2045,Conversion!G20,Conversion!H20))))))</f>
        <v>0.27041100000000001</v>
      </c>
      <c r="R32" s="3">
        <v>0</v>
      </c>
      <c r="S32" s="3">
        <v>0</v>
      </c>
      <c r="T32" s="3">
        <v>0</v>
      </c>
      <c r="U32" s="3">
        <v>1</v>
      </c>
    </row>
    <row r="33" spans="1:21">
      <c r="A33" s="3">
        <v>30</v>
      </c>
      <c r="B33" s="143" t="s">
        <v>162</v>
      </c>
      <c r="C33" s="31" t="s">
        <v>163</v>
      </c>
      <c r="D33" s="145" t="s">
        <v>89</v>
      </c>
      <c r="E33" s="145" t="s">
        <v>118</v>
      </c>
      <c r="F33" s="145"/>
      <c r="G33" s="147"/>
      <c r="H33" s="146" t="s">
        <v>105</v>
      </c>
      <c r="I33" s="146"/>
      <c r="J33" s="31">
        <v>81</v>
      </c>
      <c r="K33" s="31">
        <v>11</v>
      </c>
      <c r="L33" s="3" t="s">
        <v>131</v>
      </c>
      <c r="M33" s="3" t="s">
        <v>106</v>
      </c>
      <c r="N33" s="3">
        <v>33.332999999999998</v>
      </c>
      <c r="O33" s="31" t="s">
        <v>107</v>
      </c>
      <c r="P33" s="3">
        <v>0.95</v>
      </c>
      <c r="Q33" s="3">
        <f>IF($I$1=2020,0,IF($I$1=2025,Conversion!C21,IF($I$1=2030,Conversion!D21,IF($I$1=2035,Conversion!E21,IF($I$1=2040,Conversion!F21,IF($I$1=2045,Conversion!G21,Conversion!H21))))))</f>
        <v>0.32043300000000002</v>
      </c>
      <c r="R33" s="3">
        <v>0</v>
      </c>
      <c r="S33" s="3">
        <v>0</v>
      </c>
      <c r="T33" s="3">
        <v>0</v>
      </c>
      <c r="U33" s="3">
        <v>1</v>
      </c>
    </row>
    <row r="34" spans="1:21">
      <c r="A34" s="3">
        <v>31</v>
      </c>
      <c r="B34" s="143" t="s">
        <v>164</v>
      </c>
      <c r="C34" s="31" t="s">
        <v>165</v>
      </c>
      <c r="D34" s="145" t="s">
        <v>89</v>
      </c>
      <c r="E34" s="145" t="s">
        <v>118</v>
      </c>
      <c r="F34" s="145"/>
      <c r="G34" s="147"/>
      <c r="H34" s="146" t="s">
        <v>142</v>
      </c>
      <c r="I34" s="146"/>
      <c r="J34" s="31">
        <v>81</v>
      </c>
      <c r="K34" s="31">
        <v>12</v>
      </c>
      <c r="L34" s="3" t="s">
        <v>131</v>
      </c>
      <c r="M34" s="3" t="s">
        <v>106</v>
      </c>
      <c r="N34" s="3">
        <v>33.332999999999998</v>
      </c>
      <c r="O34" s="31" t="s">
        <v>107</v>
      </c>
      <c r="P34" s="3">
        <v>0.95</v>
      </c>
      <c r="Q34" s="3">
        <f>IF($I$1=2020,0,IF($I$1=2025,Conversion!C22,IF($I$1=2030,Conversion!D22,IF($I$1=2035,Conversion!E22,IF($I$1=2040,Conversion!F22,IF($I$1=2045,Conversion!G22,Conversion!H22))))))</f>
        <v>0.556064</v>
      </c>
      <c r="R34" s="3">
        <v>0</v>
      </c>
      <c r="S34" s="3">
        <v>0</v>
      </c>
      <c r="T34" s="3">
        <v>0</v>
      </c>
      <c r="U34" s="3">
        <v>1</v>
      </c>
    </row>
    <row r="35" spans="1:21">
      <c r="A35" s="3">
        <v>32</v>
      </c>
      <c r="B35" s="143" t="s">
        <v>166</v>
      </c>
      <c r="C35" s="31" t="s">
        <v>167</v>
      </c>
      <c r="D35" s="145" t="s">
        <v>89</v>
      </c>
      <c r="E35" s="145" t="s">
        <v>118</v>
      </c>
      <c r="F35" s="145"/>
      <c r="G35" s="147"/>
      <c r="H35" s="146" t="s">
        <v>145</v>
      </c>
      <c r="I35" s="146"/>
      <c r="J35" s="31">
        <v>81</v>
      </c>
      <c r="K35" s="31">
        <v>13</v>
      </c>
      <c r="L35" s="3" t="s">
        <v>131</v>
      </c>
      <c r="M35" s="3" t="s">
        <v>106</v>
      </c>
      <c r="N35" s="3">
        <v>33.332999999999998</v>
      </c>
      <c r="O35" s="31" t="s">
        <v>107</v>
      </c>
      <c r="P35" s="3">
        <v>0.95</v>
      </c>
      <c r="Q35" s="3">
        <f>IF($I$1=2020,0,IF($I$1=2025,Conversion!C23,IF($I$1=2030,Conversion!D23,IF($I$1=2035,Conversion!E23,IF($I$1=2040,Conversion!F23,IF($I$1=2045,Conversion!G23,Conversion!H23))))))</f>
        <v>0.73087299999999999</v>
      </c>
      <c r="R35" s="3">
        <v>0</v>
      </c>
      <c r="S35" s="3">
        <v>0</v>
      </c>
      <c r="T35" s="3">
        <v>0</v>
      </c>
      <c r="U35" s="3">
        <v>1</v>
      </c>
    </row>
    <row r="36" spans="1:21">
      <c r="A36" s="3">
        <v>33</v>
      </c>
      <c r="B36" s="143" t="s">
        <v>168</v>
      </c>
      <c r="C36" s="31" t="s">
        <v>169</v>
      </c>
      <c r="D36" s="145" t="s">
        <v>89</v>
      </c>
      <c r="E36" s="145" t="s">
        <v>113</v>
      </c>
      <c r="F36" s="145"/>
      <c r="G36" s="147"/>
      <c r="H36" s="146" t="s">
        <v>110</v>
      </c>
      <c r="I36" s="146"/>
      <c r="J36" s="31">
        <v>91</v>
      </c>
      <c r="K36" s="31">
        <v>10</v>
      </c>
      <c r="L36" s="3" t="s">
        <v>131</v>
      </c>
      <c r="M36" s="3" t="s">
        <v>106</v>
      </c>
      <c r="N36" s="3">
        <v>33.332999999999998</v>
      </c>
      <c r="O36" s="31" t="s">
        <v>107</v>
      </c>
      <c r="P36" s="3">
        <v>0.95</v>
      </c>
      <c r="Q36" s="3">
        <f>IF($I$1=2020,0,IF($I$1=2025,Conversion!C24,IF($I$1=2030,Conversion!D24,IF($I$1=2035,Conversion!E24,IF($I$1=2040,Conversion!F24,IF($I$1=2045,Conversion!G24,Conversion!H24))))))</f>
        <v>5.5044000000000003E-2</v>
      </c>
      <c r="R36" s="3">
        <v>0</v>
      </c>
      <c r="S36" s="3">
        <v>0</v>
      </c>
      <c r="T36" s="3">
        <v>0</v>
      </c>
      <c r="U36" s="3">
        <v>1</v>
      </c>
    </row>
    <row r="37" spans="1:21">
      <c r="A37" s="3">
        <v>34</v>
      </c>
      <c r="B37" s="143" t="s">
        <v>170</v>
      </c>
      <c r="C37" s="31" t="s">
        <v>171</v>
      </c>
      <c r="D37" s="145" t="s">
        <v>89</v>
      </c>
      <c r="E37" s="145" t="s">
        <v>113</v>
      </c>
      <c r="F37" s="145"/>
      <c r="G37" s="147"/>
      <c r="H37" s="146" t="s">
        <v>105</v>
      </c>
      <c r="I37" s="146"/>
      <c r="J37" s="31">
        <v>91</v>
      </c>
      <c r="K37" s="31">
        <v>11</v>
      </c>
      <c r="L37" s="3" t="s">
        <v>131</v>
      </c>
      <c r="M37" s="3" t="s">
        <v>106</v>
      </c>
      <c r="N37" s="3">
        <v>33.332999999999998</v>
      </c>
      <c r="O37" s="31" t="s">
        <v>107</v>
      </c>
      <c r="P37" s="3">
        <v>0.95</v>
      </c>
      <c r="Q37" s="3">
        <f>IF($I$1=2020,0,IF($I$1=2025,Conversion!C25,IF($I$1=2030,Conversion!D25,IF($I$1=2035,Conversion!E25,IF($I$1=2040,Conversion!F25,IF($I$1=2045,Conversion!G25,Conversion!H25))))))</f>
        <v>0.10506600000000001</v>
      </c>
      <c r="R37" s="3">
        <v>0</v>
      </c>
      <c r="S37" s="3">
        <v>0</v>
      </c>
      <c r="T37" s="3">
        <v>0</v>
      </c>
      <c r="U37" s="3">
        <v>1</v>
      </c>
    </row>
    <row r="38" spans="1:21">
      <c r="A38" s="3">
        <v>35</v>
      </c>
      <c r="B38" s="143" t="s">
        <v>172</v>
      </c>
      <c r="C38" s="31" t="s">
        <v>173</v>
      </c>
      <c r="D38" s="145" t="s">
        <v>89</v>
      </c>
      <c r="E38" s="145" t="s">
        <v>113</v>
      </c>
      <c r="F38" s="145"/>
      <c r="G38" s="147"/>
      <c r="H38" s="146" t="s">
        <v>142</v>
      </c>
      <c r="I38" s="146"/>
      <c r="J38" s="31">
        <v>91</v>
      </c>
      <c r="K38" s="31">
        <v>12</v>
      </c>
      <c r="L38" s="3" t="s">
        <v>131</v>
      </c>
      <c r="M38" s="3" t="s">
        <v>106</v>
      </c>
      <c r="N38" s="3">
        <v>33.332999999999998</v>
      </c>
      <c r="O38" s="31" t="s">
        <v>107</v>
      </c>
      <c r="P38" s="3">
        <v>0.95</v>
      </c>
      <c r="Q38" s="3">
        <f>IF($I$1=2020,0,IF($I$1=2025,Conversion!C26,IF($I$1=2030,Conversion!D26,IF($I$1=2035,Conversion!E26,IF($I$1=2040,Conversion!F26,IF($I$1=2045,Conversion!G26,Conversion!H26))))))</f>
        <v>0.3407</v>
      </c>
      <c r="R38" s="3">
        <v>0</v>
      </c>
      <c r="S38" s="3">
        <v>0</v>
      </c>
      <c r="T38" s="3">
        <v>0</v>
      </c>
      <c r="U38" s="3">
        <v>1</v>
      </c>
    </row>
    <row r="39" spans="1:21">
      <c r="A39" s="3">
        <v>36</v>
      </c>
      <c r="B39" s="143" t="s">
        <v>174</v>
      </c>
      <c r="C39" s="31" t="s">
        <v>175</v>
      </c>
      <c r="D39" s="145" t="s">
        <v>89</v>
      </c>
      <c r="E39" s="145" t="s">
        <v>113</v>
      </c>
      <c r="F39" s="145"/>
      <c r="G39" s="147"/>
      <c r="H39" s="146" t="s">
        <v>145</v>
      </c>
      <c r="I39" s="146"/>
      <c r="J39" s="31">
        <v>91</v>
      </c>
      <c r="K39" s="31">
        <v>13</v>
      </c>
      <c r="L39" s="3" t="s">
        <v>131</v>
      </c>
      <c r="M39" s="3" t="s">
        <v>106</v>
      </c>
      <c r="N39" s="3">
        <v>33.332999999999998</v>
      </c>
      <c r="O39" s="31" t="s">
        <v>107</v>
      </c>
      <c r="P39" s="3">
        <v>0.95</v>
      </c>
      <c r="Q39" s="3">
        <f>IF($I$1=2020,0,IF($I$1=2025,Conversion!C27,IF($I$1=2030,Conversion!D27,IF($I$1=2035,Conversion!E27,IF($I$1=2040,Conversion!F27,IF($I$1=2045,Conversion!G27,Conversion!H27))))))</f>
        <v>0.51550600000000002</v>
      </c>
      <c r="R39" s="3">
        <v>0</v>
      </c>
      <c r="S39" s="3">
        <v>0</v>
      </c>
      <c r="T39" s="3">
        <v>0</v>
      </c>
      <c r="U39" s="3">
        <v>1</v>
      </c>
    </row>
    <row r="40" spans="1:21">
      <c r="A40" s="3">
        <v>37</v>
      </c>
      <c r="B40" s="143" t="s">
        <v>176</v>
      </c>
      <c r="C40" s="31" t="s">
        <v>177</v>
      </c>
      <c r="D40" s="145" t="s">
        <v>89</v>
      </c>
      <c r="E40" s="145" t="s">
        <v>110</v>
      </c>
      <c r="F40" s="145"/>
      <c r="G40" s="147"/>
      <c r="H40" s="146" t="s">
        <v>105</v>
      </c>
      <c r="I40" s="146"/>
      <c r="J40" s="31">
        <v>110</v>
      </c>
      <c r="K40" s="31">
        <v>11</v>
      </c>
      <c r="L40" s="3" t="s">
        <v>131</v>
      </c>
      <c r="M40" s="3" t="s">
        <v>106</v>
      </c>
      <c r="N40" s="3">
        <v>33.332999999999998</v>
      </c>
      <c r="O40" s="31" t="s">
        <v>107</v>
      </c>
      <c r="P40" s="3">
        <v>0.95</v>
      </c>
      <c r="Q40" s="3">
        <f>IF($I$1=2020,0,IF($I$1=2025,Conversion!C28,IF($I$1=2030,Conversion!D28,IF($I$1=2035,Conversion!E28,IF($I$1=2040,Conversion!F28,IF($I$1=2045,Conversion!G28,Conversion!H28))))))</f>
        <v>0.05</v>
      </c>
      <c r="R40" s="3">
        <v>0</v>
      </c>
      <c r="S40" s="3">
        <v>0</v>
      </c>
      <c r="T40" s="3">
        <v>0</v>
      </c>
      <c r="U40" s="3">
        <v>1</v>
      </c>
    </row>
    <row r="41" spans="1:21">
      <c r="A41" s="3">
        <v>38</v>
      </c>
      <c r="B41" s="143" t="s">
        <v>178</v>
      </c>
      <c r="C41" s="31" t="s">
        <v>179</v>
      </c>
      <c r="D41" s="145" t="s">
        <v>89</v>
      </c>
      <c r="E41" s="145" t="s">
        <v>110</v>
      </c>
      <c r="F41" s="145"/>
      <c r="G41" s="147"/>
      <c r="H41" s="146" t="s">
        <v>142</v>
      </c>
      <c r="I41" s="146"/>
      <c r="J41" s="31">
        <v>110</v>
      </c>
      <c r="K41" s="31">
        <v>12</v>
      </c>
      <c r="L41" s="3" t="s">
        <v>131</v>
      </c>
      <c r="M41" s="3" t="s">
        <v>106</v>
      </c>
      <c r="N41" s="3">
        <v>33.332999999999998</v>
      </c>
      <c r="O41" s="31" t="s">
        <v>107</v>
      </c>
      <c r="P41" s="3">
        <v>0.95</v>
      </c>
      <c r="Q41" s="3">
        <f>IF($I$1=2020,0,IF($I$1=2025,Conversion!C29,IF($I$1=2030,Conversion!D29,IF($I$1=2035,Conversion!E29,IF($I$1=2040,Conversion!F29,IF($I$1=2045,Conversion!G29,Conversion!H29))))))</f>
        <v>0.28565299999999999</v>
      </c>
      <c r="R41" s="3">
        <v>0</v>
      </c>
      <c r="S41" s="3">
        <v>0</v>
      </c>
      <c r="T41" s="3">
        <v>0</v>
      </c>
      <c r="U41" s="3">
        <v>1</v>
      </c>
    </row>
    <row r="42" spans="1:21">
      <c r="A42" s="3">
        <v>39</v>
      </c>
      <c r="B42" s="143" t="s">
        <v>180</v>
      </c>
      <c r="C42" s="31" t="s">
        <v>181</v>
      </c>
      <c r="D42" s="145" t="s">
        <v>89</v>
      </c>
      <c r="E42" s="145" t="s">
        <v>110</v>
      </c>
      <c r="F42" s="145"/>
      <c r="G42" s="147"/>
      <c r="H42" s="146" t="s">
        <v>145</v>
      </c>
      <c r="I42" s="146"/>
      <c r="J42" s="31">
        <v>110</v>
      </c>
      <c r="K42" s="31">
        <v>13</v>
      </c>
      <c r="L42" s="3" t="s">
        <v>131</v>
      </c>
      <c r="M42" s="3" t="s">
        <v>106</v>
      </c>
      <c r="N42" s="3">
        <v>33.332999999999998</v>
      </c>
      <c r="O42" s="31" t="s">
        <v>107</v>
      </c>
      <c r="P42" s="3">
        <v>0.95</v>
      </c>
      <c r="Q42" s="3">
        <f>IF($I$1=2020,0,IF($I$1=2025,Conversion!C30,IF($I$1=2030,Conversion!D30,IF($I$1=2035,Conversion!E30,IF($I$1=2040,Conversion!F30,IF($I$1=2045,Conversion!G30,Conversion!H30))))))</f>
        <v>0.46046199999999998</v>
      </c>
      <c r="R42" s="3">
        <v>0</v>
      </c>
      <c r="S42" s="3">
        <v>0</v>
      </c>
      <c r="T42" s="3">
        <v>0</v>
      </c>
      <c r="U42" s="3">
        <v>1</v>
      </c>
    </row>
    <row r="43" spans="1:21">
      <c r="A43" s="3">
        <v>40</v>
      </c>
      <c r="B43" s="143" t="s">
        <v>182</v>
      </c>
      <c r="C43" s="31" t="s">
        <v>183</v>
      </c>
      <c r="D43" s="145" t="s">
        <v>89</v>
      </c>
      <c r="E43" s="145" t="s">
        <v>105</v>
      </c>
      <c r="F43" s="145"/>
      <c r="G43" s="147"/>
      <c r="H43" s="146" t="s">
        <v>142</v>
      </c>
      <c r="I43" s="146"/>
      <c r="J43" s="31">
        <v>111</v>
      </c>
      <c r="K43" s="31">
        <v>12</v>
      </c>
      <c r="L43" s="3" t="s">
        <v>131</v>
      </c>
      <c r="M43" s="3" t="s">
        <v>106</v>
      </c>
      <c r="N43" s="3">
        <v>33.332999999999998</v>
      </c>
      <c r="O43" s="31" t="s">
        <v>107</v>
      </c>
      <c r="P43" s="3">
        <v>0.95</v>
      </c>
      <c r="Q43" s="3">
        <f>IF($I$1=2020,0,IF($I$1=2025,Conversion!C31,IF($I$1=2030,Conversion!D31,IF($I$1=2035,Conversion!E31,IF($I$1=2040,Conversion!F31,IF($I$1=2045,Conversion!G31,Conversion!H31))))))</f>
        <v>0.23563100000000001</v>
      </c>
      <c r="R43" s="3">
        <v>0</v>
      </c>
      <c r="S43" s="3">
        <v>0</v>
      </c>
      <c r="T43" s="3">
        <v>0</v>
      </c>
      <c r="U43" s="3">
        <v>1</v>
      </c>
    </row>
    <row r="44" spans="1:21">
      <c r="A44" s="3">
        <v>41</v>
      </c>
      <c r="B44" s="143" t="s">
        <v>184</v>
      </c>
      <c r="C44" s="31" t="s">
        <v>185</v>
      </c>
      <c r="D44" s="145" t="s">
        <v>89</v>
      </c>
      <c r="E44" s="145" t="s">
        <v>105</v>
      </c>
      <c r="F44" s="145"/>
      <c r="G44" s="147"/>
      <c r="H44" s="146" t="s">
        <v>145</v>
      </c>
      <c r="I44" s="146"/>
      <c r="J44" s="31">
        <v>111</v>
      </c>
      <c r="K44" s="31">
        <v>13</v>
      </c>
      <c r="L44" s="3" t="s">
        <v>131</v>
      </c>
      <c r="M44" s="3" t="s">
        <v>106</v>
      </c>
      <c r="N44" s="3">
        <v>33.332999999999998</v>
      </c>
      <c r="O44" s="31" t="s">
        <v>107</v>
      </c>
      <c r="P44" s="3">
        <v>0.95</v>
      </c>
      <c r="Q44" s="3">
        <f>IF($I$1=2020,0,IF($I$1=2025,Conversion!C32,IF($I$1=2030,Conversion!D32,IF($I$1=2035,Conversion!E32,IF($I$1=2040,Conversion!F32,IF($I$1=2045,Conversion!G32,Conversion!H32))))))</f>
        <v>0.41044000000000003</v>
      </c>
      <c r="R44" s="3">
        <v>0</v>
      </c>
      <c r="S44" s="3">
        <v>0</v>
      </c>
      <c r="T44" s="3">
        <v>0</v>
      </c>
      <c r="U44" s="3">
        <v>1</v>
      </c>
    </row>
    <row r="45" spans="1:21">
      <c r="A45" s="3">
        <v>42</v>
      </c>
      <c r="B45" s="143" t="s">
        <v>186</v>
      </c>
      <c r="C45" s="31" t="s">
        <v>187</v>
      </c>
      <c r="D45" s="145" t="s">
        <v>89</v>
      </c>
      <c r="E45" s="145" t="s">
        <v>142</v>
      </c>
      <c r="F45" s="145"/>
      <c r="G45" s="147"/>
      <c r="H45" s="146" t="s">
        <v>145</v>
      </c>
      <c r="I45" s="146"/>
      <c r="J45" s="31">
        <v>112</v>
      </c>
      <c r="K45" s="31">
        <v>13</v>
      </c>
      <c r="L45" s="3" t="s">
        <v>131</v>
      </c>
      <c r="M45" s="3" t="s">
        <v>106</v>
      </c>
      <c r="N45" s="3">
        <v>33.332999999999998</v>
      </c>
      <c r="O45" s="31" t="s">
        <v>107</v>
      </c>
      <c r="P45" s="3">
        <v>0.95</v>
      </c>
      <c r="Q45" s="3">
        <f>IF($I$1=2020,0,IF($I$1=2025,Conversion!C33,IF($I$1=2030,Conversion!D33,IF($I$1=2035,Conversion!E33,IF($I$1=2040,Conversion!F33,IF($I$1=2045,Conversion!G33,Conversion!H33))))))</f>
        <v>0.17480899999999999</v>
      </c>
      <c r="R45" s="3">
        <v>0</v>
      </c>
      <c r="S45" s="3">
        <v>0</v>
      </c>
      <c r="T45" s="3">
        <v>0</v>
      </c>
      <c r="U45" s="3">
        <v>1</v>
      </c>
    </row>
    <row r="46" spans="1:21">
      <c r="A46" s="3">
        <v>43</v>
      </c>
      <c r="B46" s="143" t="s">
        <v>188</v>
      </c>
      <c r="C46" s="31" t="s">
        <v>189</v>
      </c>
      <c r="D46" s="145" t="s">
        <v>89</v>
      </c>
      <c r="E46" s="145" t="s">
        <v>145</v>
      </c>
      <c r="F46" s="145"/>
      <c r="G46" s="147"/>
      <c r="H46" s="146" t="s">
        <v>190</v>
      </c>
      <c r="I46" s="146"/>
      <c r="J46" s="31">
        <v>113</v>
      </c>
      <c r="K46" s="31">
        <v>14</v>
      </c>
      <c r="L46" s="3" t="s">
        <v>131</v>
      </c>
      <c r="M46" s="3" t="s">
        <v>106</v>
      </c>
      <c r="N46" s="3">
        <v>33.332999999999998</v>
      </c>
      <c r="O46" s="31" t="s">
        <v>107</v>
      </c>
      <c r="P46" s="3">
        <v>0.95</v>
      </c>
      <c r="Q46" s="3">
        <f>IF($I$1=2020,0,IF($I$1=2025,Conversion!C43,IF($I$1=2030,Conversion!D43,IF($I$1=2035,Conversion!E43,IF($I$1=2040,Conversion!F43,IF($I$1=2045,Conversion!G43,Conversion!H43))))))</f>
        <v>0.32</v>
      </c>
      <c r="R46" s="3">
        <v>0</v>
      </c>
      <c r="S46" s="3">
        <v>0</v>
      </c>
      <c r="T46" s="3">
        <v>0</v>
      </c>
      <c r="U46" s="3">
        <v>1</v>
      </c>
    </row>
    <row r="47" spans="1:21">
      <c r="A47" s="3">
        <v>44</v>
      </c>
      <c r="B47" s="143" t="s">
        <v>191</v>
      </c>
      <c r="C47" s="31" t="s">
        <v>192</v>
      </c>
      <c r="D47" s="145" t="s">
        <v>89</v>
      </c>
      <c r="E47" s="145" t="s">
        <v>145</v>
      </c>
      <c r="F47" s="145"/>
      <c r="G47" s="147"/>
      <c r="H47" s="146" t="s">
        <v>193</v>
      </c>
      <c r="I47" s="146"/>
      <c r="J47" s="31">
        <v>113</v>
      </c>
      <c r="K47" s="31">
        <v>15</v>
      </c>
      <c r="L47" s="3" t="s">
        <v>131</v>
      </c>
      <c r="M47" s="3" t="s">
        <v>106</v>
      </c>
      <c r="N47" s="3">
        <v>33.332999999999998</v>
      </c>
      <c r="O47" s="31" t="s">
        <v>107</v>
      </c>
      <c r="P47" s="3">
        <v>0.95</v>
      </c>
      <c r="Q47" s="3">
        <f>IF($I$1=2020,0,IF($I$1=2025,Conversion!C44,IF($I$1=2030,Conversion!D44,IF($I$1=2035,Conversion!E44,IF($I$1=2040,Conversion!F44,IF($I$1=2045,Conversion!G44,Conversion!H44))))))</f>
        <v>0.55705300000000002</v>
      </c>
      <c r="R47" s="3">
        <v>0</v>
      </c>
      <c r="S47" s="3">
        <v>0</v>
      </c>
      <c r="T47" s="3">
        <v>0</v>
      </c>
      <c r="U47" s="3">
        <v>1</v>
      </c>
    </row>
    <row r="48" spans="1:21">
      <c r="A48" s="3">
        <v>45</v>
      </c>
      <c r="B48" s="143" t="s">
        <v>194</v>
      </c>
      <c r="C48" s="31" t="s">
        <v>195</v>
      </c>
      <c r="D48" s="145" t="s">
        <v>89</v>
      </c>
      <c r="E48" s="145" t="s">
        <v>145</v>
      </c>
      <c r="F48" s="145"/>
      <c r="G48" s="147"/>
      <c r="H48" s="146" t="s">
        <v>124</v>
      </c>
      <c r="I48" s="146"/>
      <c r="J48" s="31">
        <v>113</v>
      </c>
      <c r="K48" s="31">
        <v>16</v>
      </c>
      <c r="L48" s="3" t="s">
        <v>131</v>
      </c>
      <c r="M48" s="3" t="s">
        <v>106</v>
      </c>
      <c r="N48" s="3">
        <v>33.332999999999998</v>
      </c>
      <c r="O48" s="31" t="s">
        <v>107</v>
      </c>
      <c r="P48" s="3">
        <v>0.95</v>
      </c>
      <c r="Q48" s="3">
        <f>IF($I$1=2020,0,IF($I$1=2025,Conversion!C45,IF($I$1=2030,Conversion!D45,IF($I$1=2035,Conversion!E45,IF($I$1=2040,Conversion!F45,IF($I$1=2045,Conversion!G45,Conversion!H45))))))</f>
        <v>0.80825999999999998</v>
      </c>
      <c r="R48" s="3">
        <v>0</v>
      </c>
      <c r="S48" s="3">
        <v>0</v>
      </c>
      <c r="T48" s="3">
        <v>0</v>
      </c>
      <c r="U48" s="3">
        <v>1</v>
      </c>
    </row>
    <row r="49" spans="1:21">
      <c r="A49" s="3">
        <v>46</v>
      </c>
      <c r="B49" s="143" t="s">
        <v>196</v>
      </c>
      <c r="C49" s="31" t="s">
        <v>197</v>
      </c>
      <c r="D49" s="145" t="s">
        <v>124</v>
      </c>
      <c r="E49" s="145"/>
      <c r="F49" s="145"/>
      <c r="G49" s="145"/>
      <c r="H49" s="146" t="s">
        <v>190</v>
      </c>
      <c r="I49" s="146"/>
      <c r="J49" s="31">
        <v>16</v>
      </c>
      <c r="K49" s="31">
        <v>14</v>
      </c>
      <c r="L49" s="3" t="s">
        <v>106</v>
      </c>
      <c r="M49" s="3" t="s">
        <v>106</v>
      </c>
      <c r="N49" s="3">
        <v>1</v>
      </c>
      <c r="O49" s="31" t="s">
        <v>107</v>
      </c>
      <c r="P49" s="3">
        <v>1</v>
      </c>
      <c r="Q49" s="3">
        <v>0</v>
      </c>
      <c r="R49" s="3">
        <v>0</v>
      </c>
      <c r="S49" s="3">
        <v>0</v>
      </c>
      <c r="T49" s="3">
        <v>0</v>
      </c>
      <c r="U49" s="3">
        <v>1</v>
      </c>
    </row>
    <row r="50" spans="1:21">
      <c r="A50" s="3">
        <v>47</v>
      </c>
      <c r="B50" s="143" t="s">
        <v>198</v>
      </c>
      <c r="C50" s="31" t="s">
        <v>199</v>
      </c>
      <c r="D50" s="145" t="s">
        <v>124</v>
      </c>
      <c r="E50" s="145"/>
      <c r="F50" s="145"/>
      <c r="G50" s="145"/>
      <c r="H50" s="146" t="s">
        <v>145</v>
      </c>
      <c r="I50" s="146"/>
      <c r="J50" s="31">
        <v>16</v>
      </c>
      <c r="K50" s="31">
        <v>13</v>
      </c>
      <c r="L50" s="3" t="s">
        <v>106</v>
      </c>
      <c r="M50" s="3" t="s">
        <v>106</v>
      </c>
      <c r="N50" s="3">
        <v>1</v>
      </c>
      <c r="O50" s="31" t="s">
        <v>107</v>
      </c>
      <c r="P50" s="3">
        <v>1</v>
      </c>
      <c r="Q50" s="3">
        <v>0</v>
      </c>
      <c r="R50" s="3">
        <v>0</v>
      </c>
      <c r="S50" s="3">
        <v>0</v>
      </c>
      <c r="T50" s="3">
        <v>0</v>
      </c>
      <c r="U50" s="3">
        <v>1</v>
      </c>
    </row>
    <row r="51" spans="1:21">
      <c r="A51" s="3">
        <v>48</v>
      </c>
      <c r="B51" s="143" t="s">
        <v>200</v>
      </c>
      <c r="C51" s="31" t="s">
        <v>201</v>
      </c>
      <c r="D51" s="145" t="s">
        <v>124</v>
      </c>
      <c r="E51" s="145"/>
      <c r="F51" s="145"/>
      <c r="G51" s="145"/>
      <c r="H51" s="146" t="s">
        <v>118</v>
      </c>
      <c r="I51" s="146"/>
      <c r="J51" s="31">
        <v>16</v>
      </c>
      <c r="K51" s="31">
        <v>8</v>
      </c>
      <c r="L51" s="3" t="s">
        <v>106</v>
      </c>
      <c r="M51" s="3" t="s">
        <v>106</v>
      </c>
      <c r="N51" s="3">
        <v>1</v>
      </c>
      <c r="O51" s="31" t="s">
        <v>107</v>
      </c>
      <c r="P51" s="3">
        <v>1</v>
      </c>
      <c r="Q51" s="3">
        <v>0</v>
      </c>
      <c r="R51" s="3">
        <v>0</v>
      </c>
      <c r="S51" s="3">
        <v>0</v>
      </c>
      <c r="T51" s="3">
        <v>0</v>
      </c>
      <c r="U51" s="3">
        <v>1</v>
      </c>
    </row>
    <row r="52" spans="1:21">
      <c r="A52" s="3">
        <v>49</v>
      </c>
      <c r="B52" s="143" t="s">
        <v>202</v>
      </c>
      <c r="C52" s="31" t="s">
        <v>203</v>
      </c>
      <c r="D52" s="145" t="s">
        <v>124</v>
      </c>
      <c r="E52" s="145"/>
      <c r="F52" s="145"/>
      <c r="G52" s="145"/>
      <c r="H52" s="146" t="s">
        <v>130</v>
      </c>
      <c r="I52" s="146"/>
      <c r="J52" s="31">
        <v>16</v>
      </c>
      <c r="K52" s="31">
        <v>6</v>
      </c>
      <c r="L52" s="3" t="s">
        <v>106</v>
      </c>
      <c r="M52" s="3" t="s">
        <v>106</v>
      </c>
      <c r="N52" s="3">
        <v>1</v>
      </c>
      <c r="O52" s="31" t="s">
        <v>107</v>
      </c>
      <c r="P52" s="3">
        <v>1</v>
      </c>
      <c r="Q52" s="3">
        <v>0</v>
      </c>
      <c r="R52" s="3">
        <v>0</v>
      </c>
      <c r="S52" s="3">
        <v>0</v>
      </c>
      <c r="T52" s="3">
        <v>0</v>
      </c>
      <c r="U52" s="3">
        <v>1</v>
      </c>
    </row>
    <row r="53" spans="1:21">
      <c r="A53" s="3">
        <v>50</v>
      </c>
      <c r="B53" s="143" t="s">
        <v>204</v>
      </c>
      <c r="C53" s="31" t="s">
        <v>205</v>
      </c>
      <c r="D53" s="145" t="s">
        <v>193</v>
      </c>
      <c r="E53" s="145"/>
      <c r="F53" s="145"/>
      <c r="G53" s="145"/>
      <c r="H53" s="146" t="s">
        <v>190</v>
      </c>
      <c r="I53" s="146"/>
      <c r="J53" s="31">
        <v>15</v>
      </c>
      <c r="K53" s="31">
        <v>14</v>
      </c>
      <c r="L53" s="3" t="s">
        <v>106</v>
      </c>
      <c r="M53" s="3" t="s">
        <v>106</v>
      </c>
      <c r="N53" s="3">
        <v>1</v>
      </c>
      <c r="O53" s="31" t="s">
        <v>107</v>
      </c>
      <c r="P53" s="3">
        <v>1</v>
      </c>
      <c r="Q53" s="3">
        <v>0</v>
      </c>
      <c r="R53" s="3">
        <v>0</v>
      </c>
      <c r="S53" s="3">
        <v>0</v>
      </c>
      <c r="T53" s="3">
        <v>0</v>
      </c>
      <c r="U53" s="3">
        <v>1</v>
      </c>
    </row>
    <row r="54" spans="1:21">
      <c r="A54" s="3">
        <v>51</v>
      </c>
      <c r="B54" s="143" t="s">
        <v>206</v>
      </c>
      <c r="C54" s="31" t="s">
        <v>207</v>
      </c>
      <c r="D54" s="145" t="s">
        <v>193</v>
      </c>
      <c r="E54" s="145"/>
      <c r="F54" s="145"/>
      <c r="G54" s="145"/>
      <c r="H54" s="146" t="s">
        <v>145</v>
      </c>
      <c r="I54" s="146"/>
      <c r="J54" s="31">
        <v>15</v>
      </c>
      <c r="K54" s="31">
        <v>13</v>
      </c>
      <c r="L54" s="3" t="s">
        <v>106</v>
      </c>
      <c r="M54" s="3" t="s">
        <v>106</v>
      </c>
      <c r="N54" s="3">
        <v>1</v>
      </c>
      <c r="O54" s="31" t="s">
        <v>107</v>
      </c>
      <c r="P54" s="3">
        <v>1</v>
      </c>
      <c r="Q54" s="3">
        <v>0</v>
      </c>
      <c r="R54" s="3">
        <v>0</v>
      </c>
      <c r="S54" s="3">
        <v>0</v>
      </c>
      <c r="T54" s="3">
        <v>0</v>
      </c>
      <c r="U54" s="3">
        <v>1</v>
      </c>
    </row>
    <row r="55" spans="1:21">
      <c r="A55" s="3">
        <v>52</v>
      </c>
      <c r="B55" s="143" t="s">
        <v>208</v>
      </c>
      <c r="C55" s="31" t="s">
        <v>209</v>
      </c>
      <c r="D55" s="145" t="s">
        <v>193</v>
      </c>
      <c r="E55" s="145"/>
      <c r="F55" s="145"/>
      <c r="G55" s="145"/>
      <c r="H55" s="146" t="s">
        <v>118</v>
      </c>
      <c r="I55" s="146"/>
      <c r="J55" s="31">
        <v>15</v>
      </c>
      <c r="K55" s="31">
        <v>8</v>
      </c>
      <c r="L55" s="3" t="s">
        <v>106</v>
      </c>
      <c r="M55" s="3" t="s">
        <v>106</v>
      </c>
      <c r="N55" s="3">
        <v>1</v>
      </c>
      <c r="O55" s="31" t="s">
        <v>107</v>
      </c>
      <c r="P55" s="3">
        <v>1</v>
      </c>
      <c r="Q55" s="3">
        <v>0</v>
      </c>
      <c r="R55" s="3">
        <v>0</v>
      </c>
      <c r="S55" s="3">
        <v>0</v>
      </c>
      <c r="T55" s="3">
        <v>0</v>
      </c>
      <c r="U55" s="3">
        <v>1</v>
      </c>
    </row>
    <row r="56" spans="1:21">
      <c r="A56" s="3">
        <v>53</v>
      </c>
      <c r="B56" s="143" t="s">
        <v>210</v>
      </c>
      <c r="C56" s="31" t="s">
        <v>211</v>
      </c>
      <c r="D56" s="145" t="s">
        <v>193</v>
      </c>
      <c r="E56" s="145"/>
      <c r="F56" s="145"/>
      <c r="G56" s="145"/>
      <c r="H56" s="146" t="s">
        <v>130</v>
      </c>
      <c r="I56" s="146"/>
      <c r="J56" s="31">
        <v>15</v>
      </c>
      <c r="K56" s="31">
        <v>6</v>
      </c>
      <c r="L56" s="3" t="s">
        <v>106</v>
      </c>
      <c r="M56" s="3" t="s">
        <v>106</v>
      </c>
      <c r="N56" s="3">
        <v>1</v>
      </c>
      <c r="O56" s="31" t="s">
        <v>107</v>
      </c>
      <c r="P56" s="3">
        <v>1</v>
      </c>
      <c r="Q56" s="3">
        <v>0</v>
      </c>
      <c r="R56" s="3">
        <v>0</v>
      </c>
      <c r="S56" s="3">
        <v>0</v>
      </c>
      <c r="T56" s="3">
        <v>0</v>
      </c>
      <c r="U56" s="3">
        <v>1</v>
      </c>
    </row>
    <row r="57" spans="1:21">
      <c r="A57" s="3">
        <v>54</v>
      </c>
      <c r="B57" s="143" t="s">
        <v>212</v>
      </c>
      <c r="C57" s="31" t="s">
        <v>213</v>
      </c>
      <c r="D57" s="145" t="s">
        <v>190</v>
      </c>
      <c r="E57" s="145"/>
      <c r="F57" s="145"/>
      <c r="G57" s="145"/>
      <c r="H57" s="146" t="s">
        <v>145</v>
      </c>
      <c r="I57" s="146"/>
      <c r="J57" s="31">
        <v>14</v>
      </c>
      <c r="K57" s="31">
        <v>13</v>
      </c>
      <c r="L57" s="3" t="s">
        <v>106</v>
      </c>
      <c r="M57" s="3" t="s">
        <v>106</v>
      </c>
      <c r="N57" s="3">
        <v>1</v>
      </c>
      <c r="O57" s="31" t="s">
        <v>107</v>
      </c>
      <c r="P57" s="3">
        <v>1</v>
      </c>
      <c r="Q57" s="3">
        <v>0</v>
      </c>
      <c r="R57" s="3">
        <v>0</v>
      </c>
      <c r="S57" s="3">
        <v>0</v>
      </c>
      <c r="T57" s="3">
        <v>0</v>
      </c>
      <c r="U57" s="3">
        <v>1</v>
      </c>
    </row>
    <row r="58" spans="1:21">
      <c r="A58" s="3">
        <v>55</v>
      </c>
      <c r="B58" s="143" t="s">
        <v>214</v>
      </c>
      <c r="C58" s="31" t="s">
        <v>215</v>
      </c>
      <c r="D58" s="145" t="s">
        <v>190</v>
      </c>
      <c r="E58" s="145"/>
      <c r="F58" s="145"/>
      <c r="G58" s="145"/>
      <c r="H58" s="146" t="s">
        <v>118</v>
      </c>
      <c r="I58" s="146"/>
      <c r="J58" s="31">
        <v>14</v>
      </c>
      <c r="K58" s="31">
        <v>8</v>
      </c>
      <c r="L58" s="3" t="s">
        <v>106</v>
      </c>
      <c r="M58" s="3" t="s">
        <v>106</v>
      </c>
      <c r="N58" s="3">
        <v>1</v>
      </c>
      <c r="O58" s="31" t="s">
        <v>107</v>
      </c>
      <c r="P58" s="3">
        <v>1</v>
      </c>
      <c r="Q58" s="3">
        <v>0</v>
      </c>
      <c r="R58" s="3">
        <v>0</v>
      </c>
      <c r="S58" s="3">
        <v>0</v>
      </c>
      <c r="T58" s="3">
        <v>0</v>
      </c>
      <c r="U58" s="3">
        <v>1</v>
      </c>
    </row>
    <row r="59" spans="1:21">
      <c r="A59" s="3">
        <v>56</v>
      </c>
      <c r="B59" s="143" t="s">
        <v>216</v>
      </c>
      <c r="C59" s="31" t="s">
        <v>217</v>
      </c>
      <c r="D59" s="145" t="s">
        <v>190</v>
      </c>
      <c r="E59" s="145"/>
      <c r="F59" s="145"/>
      <c r="G59" s="145"/>
      <c r="H59" s="146" t="s">
        <v>130</v>
      </c>
      <c r="I59" s="146"/>
      <c r="J59" s="31">
        <v>14</v>
      </c>
      <c r="K59" s="31">
        <v>6</v>
      </c>
      <c r="L59" s="3" t="s">
        <v>106</v>
      </c>
      <c r="M59" s="3" t="s">
        <v>106</v>
      </c>
      <c r="N59" s="3">
        <v>1</v>
      </c>
      <c r="O59" s="31" t="s">
        <v>107</v>
      </c>
      <c r="P59" s="3">
        <v>1</v>
      </c>
      <c r="Q59" s="3">
        <v>0</v>
      </c>
      <c r="R59" s="3">
        <v>0</v>
      </c>
      <c r="S59" s="3">
        <v>0</v>
      </c>
      <c r="T59" s="3">
        <v>0</v>
      </c>
      <c r="U59" s="3">
        <v>1</v>
      </c>
    </row>
    <row r="60" spans="1:21">
      <c r="A60" s="3">
        <v>57</v>
      </c>
      <c r="B60" s="143" t="s">
        <v>218</v>
      </c>
      <c r="C60" s="31" t="s">
        <v>219</v>
      </c>
      <c r="D60" s="145" t="s">
        <v>145</v>
      </c>
      <c r="E60" s="145"/>
      <c r="F60" s="145"/>
      <c r="G60" s="145"/>
      <c r="H60" s="146" t="s">
        <v>142</v>
      </c>
      <c r="I60" s="146"/>
      <c r="J60" s="31">
        <v>13</v>
      </c>
      <c r="K60" s="31">
        <v>12</v>
      </c>
      <c r="L60" s="3" t="s">
        <v>106</v>
      </c>
      <c r="M60" s="3" t="s">
        <v>106</v>
      </c>
      <c r="N60" s="3">
        <v>1</v>
      </c>
      <c r="O60" s="31" t="s">
        <v>107</v>
      </c>
      <c r="P60" s="3">
        <v>1</v>
      </c>
      <c r="Q60" s="3">
        <v>0</v>
      </c>
      <c r="R60" s="3">
        <v>0</v>
      </c>
      <c r="S60" s="3">
        <v>0</v>
      </c>
      <c r="T60" s="3">
        <v>0</v>
      </c>
      <c r="U60" s="3">
        <v>1</v>
      </c>
    </row>
    <row r="61" spans="1:21">
      <c r="A61" s="3">
        <v>58</v>
      </c>
      <c r="B61" s="143" t="s">
        <v>220</v>
      </c>
      <c r="C61" s="31" t="s">
        <v>221</v>
      </c>
      <c r="D61" s="145" t="s">
        <v>145</v>
      </c>
      <c r="E61" s="145"/>
      <c r="F61" s="145"/>
      <c r="G61" s="145"/>
      <c r="H61" s="146" t="s">
        <v>110</v>
      </c>
      <c r="I61" s="146"/>
      <c r="J61" s="31">
        <v>13</v>
      </c>
      <c r="K61" s="31">
        <v>10</v>
      </c>
      <c r="L61" s="3" t="s">
        <v>106</v>
      </c>
      <c r="M61" s="3" t="s">
        <v>106</v>
      </c>
      <c r="N61" s="3">
        <v>1</v>
      </c>
      <c r="O61" s="31" t="s">
        <v>107</v>
      </c>
      <c r="P61" s="3">
        <v>1</v>
      </c>
      <c r="Q61" s="3">
        <v>0</v>
      </c>
      <c r="R61" s="3">
        <v>0</v>
      </c>
      <c r="S61" s="3">
        <v>0</v>
      </c>
      <c r="T61" s="3">
        <v>0</v>
      </c>
      <c r="U61" s="3">
        <v>1</v>
      </c>
    </row>
    <row r="62" spans="1:21">
      <c r="A62" s="3">
        <v>59</v>
      </c>
      <c r="B62" s="143" t="s">
        <v>222</v>
      </c>
      <c r="C62" s="31" t="s">
        <v>223</v>
      </c>
      <c r="D62" s="145" t="s">
        <v>145</v>
      </c>
      <c r="E62" s="145"/>
      <c r="F62" s="145"/>
      <c r="G62" s="145"/>
      <c r="H62" s="146" t="s">
        <v>118</v>
      </c>
      <c r="I62" s="146"/>
      <c r="J62" s="31">
        <v>13</v>
      </c>
      <c r="K62" s="31">
        <v>8</v>
      </c>
      <c r="L62" s="3" t="s">
        <v>106</v>
      </c>
      <c r="M62" s="3" t="s">
        <v>106</v>
      </c>
      <c r="N62" s="3">
        <v>1</v>
      </c>
      <c r="O62" s="31" t="s">
        <v>107</v>
      </c>
      <c r="P62" s="3">
        <v>1</v>
      </c>
      <c r="Q62" s="3">
        <v>0</v>
      </c>
      <c r="R62" s="3">
        <v>0</v>
      </c>
      <c r="S62" s="3">
        <v>0</v>
      </c>
      <c r="T62" s="3">
        <v>0</v>
      </c>
      <c r="U62" s="3">
        <v>1</v>
      </c>
    </row>
    <row r="63" spans="1:21">
      <c r="A63" s="3">
        <v>60</v>
      </c>
      <c r="B63" s="143" t="s">
        <v>224</v>
      </c>
      <c r="C63" s="31" t="s">
        <v>225</v>
      </c>
      <c r="D63" s="145" t="s">
        <v>145</v>
      </c>
      <c r="E63" s="145"/>
      <c r="F63" s="145"/>
      <c r="G63" s="145"/>
      <c r="H63" s="146" t="s">
        <v>130</v>
      </c>
      <c r="I63" s="146"/>
      <c r="J63" s="31">
        <v>13</v>
      </c>
      <c r="K63" s="31">
        <v>6</v>
      </c>
      <c r="L63" s="3" t="s">
        <v>106</v>
      </c>
      <c r="M63" s="3" t="s">
        <v>106</v>
      </c>
      <c r="N63" s="3">
        <v>1</v>
      </c>
      <c r="O63" s="31" t="s">
        <v>107</v>
      </c>
      <c r="P63" s="3">
        <v>1</v>
      </c>
      <c r="Q63" s="3">
        <v>0</v>
      </c>
      <c r="R63" s="3">
        <v>0</v>
      </c>
      <c r="S63" s="3">
        <v>0</v>
      </c>
      <c r="T63" s="3">
        <v>0</v>
      </c>
      <c r="U63" s="3">
        <v>1</v>
      </c>
    </row>
    <row r="64" spans="1:21">
      <c r="A64" s="3">
        <v>61</v>
      </c>
      <c r="B64" s="143" t="s">
        <v>226</v>
      </c>
      <c r="C64" s="31" t="s">
        <v>227</v>
      </c>
      <c r="D64" s="145" t="s">
        <v>142</v>
      </c>
      <c r="E64" s="145"/>
      <c r="F64" s="145"/>
      <c r="G64" s="145"/>
      <c r="H64" s="146" t="s">
        <v>110</v>
      </c>
      <c r="I64" s="146"/>
      <c r="J64" s="31">
        <v>12</v>
      </c>
      <c r="K64" s="31">
        <v>10</v>
      </c>
      <c r="L64" s="3" t="s">
        <v>106</v>
      </c>
      <c r="M64" s="3" t="s">
        <v>106</v>
      </c>
      <c r="N64" s="3">
        <v>1</v>
      </c>
      <c r="O64" s="31" t="s">
        <v>107</v>
      </c>
      <c r="P64" s="3">
        <v>1</v>
      </c>
      <c r="Q64" s="3">
        <v>0</v>
      </c>
      <c r="R64" s="3">
        <v>0</v>
      </c>
      <c r="S64" s="3">
        <v>0</v>
      </c>
      <c r="T64" s="3">
        <v>0</v>
      </c>
      <c r="U64" s="3">
        <v>1</v>
      </c>
    </row>
    <row r="65" spans="1:21">
      <c r="A65" s="3">
        <v>62</v>
      </c>
      <c r="B65" s="143" t="s">
        <v>228</v>
      </c>
      <c r="C65" s="31" t="s">
        <v>229</v>
      </c>
      <c r="D65" s="145" t="s">
        <v>142</v>
      </c>
      <c r="E65" s="145"/>
      <c r="F65" s="145"/>
      <c r="G65" s="145"/>
      <c r="H65" s="146" t="s">
        <v>118</v>
      </c>
      <c r="I65" s="146"/>
      <c r="J65" s="31">
        <v>12</v>
      </c>
      <c r="K65" s="31">
        <v>8</v>
      </c>
      <c r="L65" s="3" t="s">
        <v>106</v>
      </c>
      <c r="M65" s="3" t="s">
        <v>106</v>
      </c>
      <c r="N65" s="3">
        <v>1</v>
      </c>
      <c r="O65" s="31" t="s">
        <v>107</v>
      </c>
      <c r="P65" s="3">
        <v>1</v>
      </c>
      <c r="Q65" s="3">
        <v>0</v>
      </c>
      <c r="R65" s="3">
        <v>0</v>
      </c>
      <c r="S65" s="3">
        <v>0</v>
      </c>
      <c r="T65" s="3">
        <v>0</v>
      </c>
      <c r="U65" s="3">
        <v>1</v>
      </c>
    </row>
    <row r="66" spans="1:21">
      <c r="A66" s="3">
        <v>63</v>
      </c>
      <c r="B66" s="143" t="s">
        <v>230</v>
      </c>
      <c r="C66" s="31" t="s">
        <v>231</v>
      </c>
      <c r="D66" s="145" t="s">
        <v>142</v>
      </c>
      <c r="E66" s="145"/>
      <c r="F66" s="145"/>
      <c r="G66" s="145"/>
      <c r="H66" s="146" t="s">
        <v>130</v>
      </c>
      <c r="I66" s="146"/>
      <c r="J66" s="31">
        <v>12</v>
      </c>
      <c r="K66" s="31">
        <v>6</v>
      </c>
      <c r="L66" s="3" t="s">
        <v>106</v>
      </c>
      <c r="M66" s="3" t="s">
        <v>106</v>
      </c>
      <c r="N66" s="3">
        <v>1</v>
      </c>
      <c r="O66" s="31" t="s">
        <v>107</v>
      </c>
      <c r="P66" s="3">
        <v>1</v>
      </c>
      <c r="Q66" s="3">
        <v>0</v>
      </c>
      <c r="R66" s="3">
        <v>0</v>
      </c>
      <c r="S66" s="3">
        <v>0</v>
      </c>
      <c r="T66" s="3">
        <v>0</v>
      </c>
      <c r="U66" s="3">
        <v>1</v>
      </c>
    </row>
    <row r="67" spans="1:21">
      <c r="A67" s="3">
        <v>64</v>
      </c>
      <c r="B67" s="143" t="s">
        <v>232</v>
      </c>
      <c r="C67" s="31" t="s">
        <v>233</v>
      </c>
      <c r="D67" s="145" t="s">
        <v>105</v>
      </c>
      <c r="E67" s="145"/>
      <c r="F67" s="145"/>
      <c r="G67" s="145"/>
      <c r="H67" s="146" t="s">
        <v>110</v>
      </c>
      <c r="I67" s="146"/>
      <c r="J67" s="31">
        <v>11</v>
      </c>
      <c r="K67" s="31">
        <v>10</v>
      </c>
      <c r="L67" s="3" t="s">
        <v>106</v>
      </c>
      <c r="M67" s="3" t="s">
        <v>106</v>
      </c>
      <c r="N67" s="3">
        <v>1</v>
      </c>
      <c r="O67" s="31" t="s">
        <v>107</v>
      </c>
      <c r="P67" s="3">
        <v>1</v>
      </c>
      <c r="Q67" s="3">
        <v>0</v>
      </c>
      <c r="R67" s="3">
        <v>0</v>
      </c>
      <c r="S67" s="3">
        <v>0</v>
      </c>
      <c r="T67" s="3">
        <v>0</v>
      </c>
      <c r="U67" s="3">
        <v>1</v>
      </c>
    </row>
    <row r="68" spans="1:21">
      <c r="A68" s="3">
        <v>65</v>
      </c>
      <c r="B68" s="143" t="s">
        <v>234</v>
      </c>
      <c r="C68" s="31" t="s">
        <v>235</v>
      </c>
      <c r="D68" s="145" t="s">
        <v>105</v>
      </c>
      <c r="E68" s="145"/>
      <c r="F68" s="145"/>
      <c r="G68" s="145"/>
      <c r="H68" s="146" t="s">
        <v>118</v>
      </c>
      <c r="I68" s="146"/>
      <c r="J68" s="31">
        <v>11</v>
      </c>
      <c r="K68" s="31">
        <v>8</v>
      </c>
      <c r="L68" s="3" t="s">
        <v>106</v>
      </c>
      <c r="M68" s="3" t="s">
        <v>106</v>
      </c>
      <c r="N68" s="3">
        <v>1</v>
      </c>
      <c r="O68" s="31" t="s">
        <v>107</v>
      </c>
      <c r="P68" s="3">
        <v>1</v>
      </c>
      <c r="Q68" s="3">
        <v>0</v>
      </c>
      <c r="R68" s="3">
        <v>0</v>
      </c>
      <c r="S68" s="3">
        <v>0</v>
      </c>
      <c r="T68" s="3">
        <v>0</v>
      </c>
      <c r="U68" s="3">
        <v>1</v>
      </c>
    </row>
    <row r="69" spans="1:21">
      <c r="A69" s="3">
        <v>66</v>
      </c>
      <c r="B69" s="143" t="s">
        <v>236</v>
      </c>
      <c r="C69" s="31" t="s">
        <v>237</v>
      </c>
      <c r="D69" s="145" t="s">
        <v>105</v>
      </c>
      <c r="E69" s="145"/>
      <c r="F69" s="145"/>
      <c r="G69" s="145"/>
      <c r="H69" s="146" t="s">
        <v>130</v>
      </c>
      <c r="I69" s="146"/>
      <c r="J69" s="31">
        <v>11</v>
      </c>
      <c r="K69" s="31">
        <v>6</v>
      </c>
      <c r="L69" s="3" t="s">
        <v>106</v>
      </c>
      <c r="M69" s="3" t="s">
        <v>106</v>
      </c>
      <c r="N69" s="3">
        <v>1</v>
      </c>
      <c r="O69" s="31" t="s">
        <v>107</v>
      </c>
      <c r="P69" s="3">
        <v>1</v>
      </c>
      <c r="Q69" s="3">
        <v>0</v>
      </c>
      <c r="R69" s="3">
        <v>0</v>
      </c>
      <c r="S69" s="3">
        <v>0</v>
      </c>
      <c r="T69" s="3">
        <v>0</v>
      </c>
      <c r="U69" s="3">
        <v>1</v>
      </c>
    </row>
    <row r="70" spans="1:21">
      <c r="A70" s="3">
        <v>67</v>
      </c>
      <c r="B70" s="143" t="s">
        <v>238</v>
      </c>
      <c r="C70" s="31" t="s">
        <v>239</v>
      </c>
      <c r="D70" s="145" t="s">
        <v>110</v>
      </c>
      <c r="E70" s="145"/>
      <c r="F70" s="145"/>
      <c r="G70" s="145"/>
      <c r="H70" s="146" t="s">
        <v>118</v>
      </c>
      <c r="I70" s="146"/>
      <c r="J70" s="31">
        <v>10</v>
      </c>
      <c r="K70" s="31">
        <v>8</v>
      </c>
      <c r="L70" s="3" t="s">
        <v>106</v>
      </c>
      <c r="M70" s="3" t="s">
        <v>106</v>
      </c>
      <c r="N70" s="3">
        <v>1</v>
      </c>
      <c r="O70" s="31" t="s">
        <v>107</v>
      </c>
      <c r="P70" s="3">
        <v>1</v>
      </c>
      <c r="Q70" s="3">
        <v>0</v>
      </c>
      <c r="R70" s="3">
        <v>0</v>
      </c>
      <c r="S70" s="3">
        <v>0</v>
      </c>
      <c r="T70" s="3">
        <v>0</v>
      </c>
      <c r="U70" s="3">
        <v>1</v>
      </c>
    </row>
    <row r="71" spans="1:21">
      <c r="A71" s="3">
        <v>68</v>
      </c>
      <c r="B71" s="143" t="s">
        <v>240</v>
      </c>
      <c r="C71" s="31" t="s">
        <v>241</v>
      </c>
      <c r="D71" s="145" t="s">
        <v>110</v>
      </c>
      <c r="E71" s="145"/>
      <c r="F71" s="145"/>
      <c r="G71" s="145"/>
      <c r="H71" s="146" t="s">
        <v>130</v>
      </c>
      <c r="I71" s="146"/>
      <c r="J71" s="31">
        <v>10</v>
      </c>
      <c r="K71" s="31">
        <v>6</v>
      </c>
      <c r="L71" s="3" t="s">
        <v>106</v>
      </c>
      <c r="M71" s="3" t="s">
        <v>106</v>
      </c>
      <c r="N71" s="3">
        <v>1</v>
      </c>
      <c r="O71" s="31" t="s">
        <v>107</v>
      </c>
      <c r="P71" s="3">
        <v>1</v>
      </c>
      <c r="Q71" s="3">
        <v>0</v>
      </c>
      <c r="R71" s="3">
        <v>0</v>
      </c>
      <c r="S71" s="3">
        <v>0</v>
      </c>
      <c r="T71" s="3">
        <v>0</v>
      </c>
      <c r="U71" s="3">
        <v>1</v>
      </c>
    </row>
    <row r="72" spans="1:21">
      <c r="A72" s="3">
        <v>69</v>
      </c>
      <c r="B72" s="143" t="s">
        <v>242</v>
      </c>
      <c r="C72" s="31" t="s">
        <v>243</v>
      </c>
      <c r="D72" s="145" t="s">
        <v>113</v>
      </c>
      <c r="E72" s="145"/>
      <c r="F72" s="145"/>
      <c r="G72" s="145"/>
      <c r="H72" s="146" t="s">
        <v>118</v>
      </c>
      <c r="I72" s="146"/>
      <c r="J72" s="31">
        <v>9</v>
      </c>
      <c r="K72" s="31">
        <v>8</v>
      </c>
      <c r="L72" s="3" t="s">
        <v>106</v>
      </c>
      <c r="M72" s="3" t="s">
        <v>106</v>
      </c>
      <c r="N72" s="3">
        <v>1</v>
      </c>
      <c r="O72" s="31" t="s">
        <v>107</v>
      </c>
      <c r="P72" s="3">
        <v>1</v>
      </c>
      <c r="Q72" s="3">
        <v>0</v>
      </c>
      <c r="R72" s="3">
        <v>0</v>
      </c>
      <c r="S72" s="3">
        <v>0</v>
      </c>
      <c r="T72" s="3">
        <v>0</v>
      </c>
      <c r="U72" s="3">
        <v>1</v>
      </c>
    </row>
    <row r="73" spans="1:21">
      <c r="A73" s="3">
        <v>70</v>
      </c>
      <c r="B73" s="143" t="s">
        <v>244</v>
      </c>
      <c r="C73" s="31" t="s">
        <v>245</v>
      </c>
      <c r="D73" s="145" t="s">
        <v>113</v>
      </c>
      <c r="E73" s="145"/>
      <c r="F73" s="145"/>
      <c r="G73" s="145"/>
      <c r="H73" s="146" t="s">
        <v>130</v>
      </c>
      <c r="I73" s="146"/>
      <c r="J73" s="31">
        <v>9</v>
      </c>
      <c r="K73" s="31">
        <v>6</v>
      </c>
      <c r="L73" s="3" t="s">
        <v>106</v>
      </c>
      <c r="M73" s="3" t="s">
        <v>106</v>
      </c>
      <c r="N73" s="3">
        <v>1</v>
      </c>
      <c r="O73" s="31" t="s">
        <v>107</v>
      </c>
      <c r="P73" s="3">
        <v>1</v>
      </c>
      <c r="Q73" s="3">
        <v>0</v>
      </c>
      <c r="R73" s="3">
        <v>0</v>
      </c>
      <c r="S73" s="3">
        <v>0</v>
      </c>
      <c r="T73" s="3">
        <v>0</v>
      </c>
      <c r="U73" s="3">
        <v>1</v>
      </c>
    </row>
    <row r="74" spans="1:21">
      <c r="A74" s="3">
        <v>71</v>
      </c>
      <c r="B74" s="143" t="s">
        <v>246</v>
      </c>
      <c r="C74" s="31" t="s">
        <v>247</v>
      </c>
      <c r="D74" s="145" t="s">
        <v>118</v>
      </c>
      <c r="E74" s="145"/>
      <c r="F74" s="145"/>
      <c r="G74" s="145"/>
      <c r="H74" s="146" t="s">
        <v>130</v>
      </c>
      <c r="I74" s="146"/>
      <c r="J74" s="31">
        <v>8</v>
      </c>
      <c r="K74" s="31">
        <v>6</v>
      </c>
      <c r="L74" s="3" t="s">
        <v>106</v>
      </c>
      <c r="M74" s="3" t="s">
        <v>106</v>
      </c>
      <c r="N74" s="3">
        <v>1</v>
      </c>
      <c r="O74" s="31" t="s">
        <v>107</v>
      </c>
      <c r="P74" s="3">
        <v>1</v>
      </c>
      <c r="Q74" s="3">
        <v>0</v>
      </c>
      <c r="R74" s="3">
        <v>0</v>
      </c>
      <c r="S74" s="3">
        <v>0</v>
      </c>
      <c r="T74" s="3">
        <v>0</v>
      </c>
      <c r="U74" s="3">
        <v>1</v>
      </c>
    </row>
    <row r="75" spans="1:21">
      <c r="A75" s="3">
        <v>72</v>
      </c>
      <c r="B75" s="143" t="s">
        <v>248</v>
      </c>
      <c r="C75" s="31" t="s">
        <v>249</v>
      </c>
      <c r="D75" s="145" t="s">
        <v>121</v>
      </c>
      <c r="E75" s="145"/>
      <c r="F75" s="145"/>
      <c r="G75" s="145"/>
      <c r="H75" s="146" t="s">
        <v>130</v>
      </c>
      <c r="I75" s="146"/>
      <c r="J75" s="31">
        <v>7</v>
      </c>
      <c r="K75" s="31">
        <v>6</v>
      </c>
      <c r="L75" s="3" t="s">
        <v>106</v>
      </c>
      <c r="M75" s="3" t="s">
        <v>106</v>
      </c>
      <c r="N75" s="3">
        <v>1</v>
      </c>
      <c r="O75" s="31" t="s">
        <v>107</v>
      </c>
      <c r="P75" s="3">
        <v>1</v>
      </c>
      <c r="Q75" s="3">
        <v>0</v>
      </c>
      <c r="R75" s="3">
        <v>0</v>
      </c>
      <c r="S75" s="3">
        <v>0</v>
      </c>
      <c r="T75" s="3">
        <v>0</v>
      </c>
      <c r="U75" s="3">
        <v>1</v>
      </c>
    </row>
    <row r="76" spans="1:21">
      <c r="A76" s="3">
        <v>73</v>
      </c>
      <c r="B76" s="143" t="s">
        <v>250</v>
      </c>
      <c r="C76" s="31" t="s">
        <v>251</v>
      </c>
      <c r="D76" s="145" t="s">
        <v>145</v>
      </c>
      <c r="E76" s="145"/>
      <c r="F76" s="145"/>
      <c r="G76" s="145"/>
      <c r="H76" s="146" t="s">
        <v>89</v>
      </c>
      <c r="I76" s="146" t="s">
        <v>110</v>
      </c>
      <c r="J76" s="31">
        <v>13</v>
      </c>
      <c r="K76" s="31">
        <v>110</v>
      </c>
      <c r="L76" s="3" t="s">
        <v>90</v>
      </c>
      <c r="M76" s="3" t="s">
        <v>90</v>
      </c>
      <c r="N76" s="3">
        <v>1</v>
      </c>
      <c r="O76" s="31" t="s">
        <v>107</v>
      </c>
      <c r="P76" s="3">
        <v>1</v>
      </c>
      <c r="Q76" s="3">
        <v>1</v>
      </c>
      <c r="R76" s="3">
        <v>0</v>
      </c>
      <c r="S76" s="3">
        <v>0</v>
      </c>
      <c r="T76" s="3">
        <v>0</v>
      </c>
      <c r="U76" s="3">
        <f>1/0.29</f>
        <v>3.4482758620689657</v>
      </c>
    </row>
    <row r="77" spans="1:21">
      <c r="A77" s="3">
        <v>74</v>
      </c>
      <c r="B77" s="143" t="s">
        <v>252</v>
      </c>
      <c r="C77" s="31" t="s">
        <v>253</v>
      </c>
      <c r="D77" s="145" t="s">
        <v>89</v>
      </c>
      <c r="E77" s="145" t="s">
        <v>105</v>
      </c>
      <c r="F77" s="145"/>
      <c r="G77" s="145"/>
      <c r="H77" s="146" t="s">
        <v>24</v>
      </c>
      <c r="I77" s="146"/>
      <c r="J77" s="31">
        <v>111</v>
      </c>
      <c r="K77" s="31">
        <v>17</v>
      </c>
      <c r="L77" s="3" t="s">
        <v>106</v>
      </c>
      <c r="M77" s="3" t="s">
        <v>106</v>
      </c>
      <c r="N77" s="3">
        <v>1</v>
      </c>
      <c r="O77" s="31" t="s">
        <v>107</v>
      </c>
      <c r="P77" s="3">
        <v>1</v>
      </c>
      <c r="Q77" s="3">
        <f>IF($I$1=2020,0,IF($I$1=2025,Conversion!C55,IF($I$1=2030,Conversion!D55,IF($I$1=2035,Conversion!E55,IF($I$1=2040,Conversion!F55,IF($I$1=2045,Conversion!G55,Conversion!H55))))))</f>
        <v>5</v>
      </c>
      <c r="R77" s="3">
        <v>0</v>
      </c>
      <c r="S77" s="3">
        <v>0</v>
      </c>
      <c r="T77" s="3">
        <v>0</v>
      </c>
      <c r="U77" s="3">
        <v>1</v>
      </c>
    </row>
    <row r="78" spans="1:21">
      <c r="A78" s="3">
        <v>75</v>
      </c>
      <c r="B78" s="143" t="s">
        <v>254</v>
      </c>
      <c r="C78" s="31" t="s">
        <v>255</v>
      </c>
      <c r="D78" s="145" t="s">
        <v>89</v>
      </c>
      <c r="E78" s="145" t="s">
        <v>110</v>
      </c>
      <c r="F78" s="145"/>
      <c r="G78" s="145"/>
      <c r="H78" s="146" t="s">
        <v>24</v>
      </c>
      <c r="I78" s="146"/>
      <c r="J78" s="31">
        <v>110</v>
      </c>
      <c r="K78" s="31">
        <v>17</v>
      </c>
      <c r="L78" s="3" t="s">
        <v>106</v>
      </c>
      <c r="M78" s="3" t="s">
        <v>106</v>
      </c>
      <c r="N78" s="3">
        <v>1</v>
      </c>
      <c r="O78" s="31" t="s">
        <v>107</v>
      </c>
      <c r="P78" s="3">
        <v>1</v>
      </c>
      <c r="Q78" s="3">
        <f>IF($I$1=2020,0,IF($I$1=2025,Conversion!C55,IF($I$1=2030,Conversion!D55,IF($I$1=2035,Conversion!E55,IF($I$1=2040,Conversion!F55,IF($I$1=2045,Conversion!G55,Conversion!H55))))))</f>
        <v>5</v>
      </c>
      <c r="R78" s="3">
        <v>0</v>
      </c>
      <c r="S78" s="3">
        <v>0</v>
      </c>
      <c r="T78" s="3">
        <v>0</v>
      </c>
      <c r="U78" s="3">
        <v>1</v>
      </c>
    </row>
    <row r="79" spans="1:21">
      <c r="A79" s="3">
        <v>76</v>
      </c>
      <c r="B79" s="143" t="s">
        <v>256</v>
      </c>
      <c r="C79" s="31" t="s">
        <v>257</v>
      </c>
      <c r="D79" s="145" t="s">
        <v>89</v>
      </c>
      <c r="E79" s="145" t="s">
        <v>113</v>
      </c>
      <c r="F79" s="145"/>
      <c r="G79" s="145"/>
      <c r="H79" s="146" t="s">
        <v>24</v>
      </c>
      <c r="I79" s="146"/>
      <c r="J79" s="31">
        <v>91</v>
      </c>
      <c r="K79" s="31">
        <v>17</v>
      </c>
      <c r="L79" s="3" t="s">
        <v>106</v>
      </c>
      <c r="M79" s="3" t="s">
        <v>106</v>
      </c>
      <c r="N79" s="3">
        <v>1</v>
      </c>
      <c r="O79" s="31" t="s">
        <v>107</v>
      </c>
      <c r="P79" s="3">
        <v>1</v>
      </c>
      <c r="Q79" s="3">
        <f>IF($I$1=2020,0,IF($I$1=2025,Conversion!C55,IF($I$1=2030,Conversion!D55,IF($I$1=2035,Conversion!E55,IF($I$1=2040,Conversion!F55,IF($I$1=2045,Conversion!G55,Conversion!H55))))))</f>
        <v>5</v>
      </c>
      <c r="R79" s="3">
        <v>0</v>
      </c>
      <c r="S79" s="3">
        <v>0</v>
      </c>
      <c r="T79" s="3">
        <v>0</v>
      </c>
      <c r="U79" s="3">
        <v>1</v>
      </c>
    </row>
    <row r="80" spans="1:21">
      <c r="A80" s="3">
        <v>77</v>
      </c>
      <c r="B80" s="143" t="s">
        <v>258</v>
      </c>
      <c r="C80" s="31" t="s">
        <v>259</v>
      </c>
      <c r="D80" s="145" t="s">
        <v>89</v>
      </c>
      <c r="E80" s="145" t="s">
        <v>118</v>
      </c>
      <c r="F80" s="145"/>
      <c r="G80" s="145"/>
      <c r="H80" s="146" t="s">
        <v>24</v>
      </c>
      <c r="I80" s="146"/>
      <c r="J80" s="31">
        <v>81</v>
      </c>
      <c r="K80" s="31">
        <v>17</v>
      </c>
      <c r="L80" s="3" t="s">
        <v>106</v>
      </c>
      <c r="M80" s="3" t="s">
        <v>106</v>
      </c>
      <c r="N80" s="3">
        <v>1</v>
      </c>
      <c r="O80" s="31" t="s">
        <v>107</v>
      </c>
      <c r="P80" s="3">
        <v>1</v>
      </c>
      <c r="Q80" s="3">
        <f>IF($I$1=2020,0,IF($I$1=2025,Conversion!C55,IF($I$1=2030,Conversion!D55,IF($I$1=2035,Conversion!E55,IF($I$1=2040,Conversion!F55,IF($I$1=2045,Conversion!G55,Conversion!H55))))))</f>
        <v>5</v>
      </c>
      <c r="R80" s="3">
        <v>0</v>
      </c>
      <c r="S80" s="3">
        <v>0</v>
      </c>
      <c r="T80" s="3">
        <v>0</v>
      </c>
      <c r="U80" s="3">
        <v>1</v>
      </c>
    </row>
    <row r="81" spans="1:21">
      <c r="A81" s="3">
        <v>78</v>
      </c>
      <c r="B81" s="143" t="s">
        <v>260</v>
      </c>
      <c r="C81" s="31" t="s">
        <v>261</v>
      </c>
      <c r="D81" s="145" t="s">
        <v>89</v>
      </c>
      <c r="E81" s="145" t="s">
        <v>121</v>
      </c>
      <c r="F81" s="145"/>
      <c r="G81" s="145"/>
      <c r="H81" s="146" t="s">
        <v>24</v>
      </c>
      <c r="I81" s="146"/>
      <c r="J81" s="31">
        <v>71</v>
      </c>
      <c r="K81" s="31">
        <v>17</v>
      </c>
      <c r="L81" s="3" t="s">
        <v>106</v>
      </c>
      <c r="M81" s="3" t="s">
        <v>106</v>
      </c>
      <c r="N81" s="3">
        <v>1</v>
      </c>
      <c r="O81" s="31" t="s">
        <v>107</v>
      </c>
      <c r="P81" s="3">
        <v>1</v>
      </c>
      <c r="Q81" s="3">
        <f>IF($I$1=2020,0,IF($I$1=2025,Conversion!C55,IF($I$1=2030,Conversion!D55,IF($I$1=2035,Conversion!E55,IF($I$1=2040,Conversion!F55,IF($I$1=2045,Conversion!G55,Conversion!H55))))))</f>
        <v>5</v>
      </c>
      <c r="R81" s="3">
        <v>0</v>
      </c>
      <c r="S81" s="3">
        <v>0</v>
      </c>
      <c r="T81" s="3">
        <v>0</v>
      </c>
      <c r="U81" s="3">
        <v>1</v>
      </c>
    </row>
    <row r="82" spans="1:21">
      <c r="A82" s="3">
        <v>79</v>
      </c>
      <c r="B82" s="143" t="s">
        <v>262</v>
      </c>
      <c r="C82" s="31" t="s">
        <v>263</v>
      </c>
      <c r="D82" s="145" t="s">
        <v>89</v>
      </c>
      <c r="E82" s="145" t="s">
        <v>130</v>
      </c>
      <c r="F82" s="145"/>
      <c r="G82" s="145"/>
      <c r="H82" s="146" t="s">
        <v>24</v>
      </c>
      <c r="I82" s="146"/>
      <c r="J82" s="31">
        <v>61</v>
      </c>
      <c r="K82" s="31">
        <v>17</v>
      </c>
      <c r="L82" s="3" t="s">
        <v>106</v>
      </c>
      <c r="M82" s="3" t="s">
        <v>106</v>
      </c>
      <c r="N82" s="3">
        <v>1</v>
      </c>
      <c r="O82" s="31" t="s">
        <v>107</v>
      </c>
      <c r="P82" s="3">
        <v>1</v>
      </c>
      <c r="Q82" s="3">
        <f>IF($I$1=2020,0,IF($I$1=2025,Conversion!C55,IF($I$1=2030,Conversion!D55,IF($I$1=2035,Conversion!E55,IF($I$1=2040,Conversion!F55,IF($I$1=2045,Conversion!G55,Conversion!H55))))))</f>
        <v>5</v>
      </c>
      <c r="R82" s="3">
        <v>0</v>
      </c>
      <c r="S82" s="3">
        <v>0</v>
      </c>
      <c r="T82" s="3">
        <v>0</v>
      </c>
      <c r="U82" s="3">
        <v>1</v>
      </c>
    </row>
    <row r="83" spans="1:21">
      <c r="A83" s="3">
        <v>80</v>
      </c>
      <c r="B83" s="35" t="s">
        <v>264</v>
      </c>
      <c r="C83" s="31" t="s">
        <v>265</v>
      </c>
      <c r="D83" s="145" t="s">
        <v>89</v>
      </c>
      <c r="E83" s="145" t="s">
        <v>24</v>
      </c>
      <c r="F83" s="145"/>
      <c r="G83" s="145"/>
      <c r="H83" s="146" t="s">
        <v>130</v>
      </c>
      <c r="I83" s="146"/>
      <c r="J83" s="31">
        <v>117</v>
      </c>
      <c r="K83" s="31">
        <v>6</v>
      </c>
      <c r="L83" s="3" t="s">
        <v>106</v>
      </c>
      <c r="M83" s="3" t="s">
        <v>106</v>
      </c>
      <c r="N83" s="3">
        <v>1</v>
      </c>
      <c r="O83" s="31" t="s">
        <v>107</v>
      </c>
      <c r="P83" s="3">
        <v>1</v>
      </c>
      <c r="Q83" s="3">
        <v>0.6</v>
      </c>
      <c r="R83" s="3">
        <v>0</v>
      </c>
      <c r="S83" s="3">
        <v>0</v>
      </c>
      <c r="T83" s="3">
        <v>0</v>
      </c>
      <c r="U83" s="3">
        <v>1</v>
      </c>
    </row>
    <row r="84" spans="1:21">
      <c r="A84" s="3">
        <v>81</v>
      </c>
      <c r="B84" s="143" t="s">
        <v>266</v>
      </c>
      <c r="C84" s="31" t="s">
        <v>267</v>
      </c>
      <c r="D84" s="145" t="s">
        <v>89</v>
      </c>
      <c r="E84" s="145" t="s">
        <v>130</v>
      </c>
      <c r="F84" s="145"/>
      <c r="G84" s="145"/>
      <c r="H84" s="146" t="s">
        <v>30</v>
      </c>
      <c r="I84" s="146" t="s">
        <v>268</v>
      </c>
      <c r="J84" s="31">
        <v>61</v>
      </c>
      <c r="K84" s="31">
        <v>1822</v>
      </c>
      <c r="L84" s="3" t="s">
        <v>269</v>
      </c>
      <c r="M84" s="3" t="s">
        <v>270</v>
      </c>
      <c r="N84" s="3">
        <f>1000/8760</f>
        <v>0.11415525114155251</v>
      </c>
      <c r="O84" s="31" t="s">
        <v>107</v>
      </c>
      <c r="P84" s="3">
        <v>0.99</v>
      </c>
      <c r="Q84" s="3">
        <v>0.73799999999999999</v>
      </c>
      <c r="R84" s="3">
        <v>2.5950000000000001E-2</v>
      </c>
      <c r="S84" s="3">
        <v>0</v>
      </c>
      <c r="T84" s="3">
        <v>0</v>
      </c>
      <c r="U84" s="3">
        <v>0.1794</v>
      </c>
    </row>
    <row r="85" spans="1:21">
      <c r="A85" s="3">
        <v>82</v>
      </c>
      <c r="B85" s="143" t="s">
        <v>271</v>
      </c>
      <c r="C85" s="31" t="s">
        <v>272</v>
      </c>
      <c r="D85" s="145" t="s">
        <v>89</v>
      </c>
      <c r="E85" s="145" t="s">
        <v>30</v>
      </c>
      <c r="F85" s="145" t="s">
        <v>273</v>
      </c>
      <c r="G85" s="145"/>
      <c r="H85" s="146" t="s">
        <v>130</v>
      </c>
      <c r="I85" s="146"/>
      <c r="J85" s="31">
        <v>11821</v>
      </c>
      <c r="K85" s="31">
        <v>6</v>
      </c>
      <c r="L85" s="3" t="s">
        <v>274</v>
      </c>
      <c r="M85" s="3" t="s">
        <v>106</v>
      </c>
      <c r="N85" s="3">
        <f>1000/24</f>
        <v>41.666666666666664</v>
      </c>
      <c r="O85" s="31" t="s">
        <v>107</v>
      </c>
      <c r="P85" s="3">
        <v>0.75</v>
      </c>
      <c r="Q85" s="3">
        <v>7.0000000000000007E-2</v>
      </c>
      <c r="R85" s="3">
        <v>2.944</v>
      </c>
      <c r="S85" s="3">
        <v>0</v>
      </c>
      <c r="T85" s="3">
        <v>0</v>
      </c>
      <c r="U85" s="3">
        <v>7.5759999999999996</v>
      </c>
    </row>
    <row r="86" spans="1:21">
      <c r="A86" s="3">
        <v>83</v>
      </c>
      <c r="B86" s="143" t="s">
        <v>275</v>
      </c>
      <c r="C86" s="31" t="s">
        <v>276</v>
      </c>
      <c r="D86" s="145" t="s">
        <v>89</v>
      </c>
      <c r="E86" s="145" t="s">
        <v>130</v>
      </c>
      <c r="F86" s="145" t="s">
        <v>52</v>
      </c>
      <c r="G86" s="145"/>
      <c r="H86" s="146" t="s">
        <v>36</v>
      </c>
      <c r="I86" s="146" t="s">
        <v>268</v>
      </c>
      <c r="J86" s="31">
        <v>1637</v>
      </c>
      <c r="K86" s="31">
        <v>1922</v>
      </c>
      <c r="L86" s="3" t="s">
        <v>277</v>
      </c>
      <c r="M86" s="3" t="s">
        <v>277</v>
      </c>
      <c r="N86" s="3">
        <v>1</v>
      </c>
      <c r="O86" s="31" t="s">
        <v>107</v>
      </c>
      <c r="P86" s="3">
        <v>0.99</v>
      </c>
      <c r="Q86" s="3">
        <v>0.18840000000000001</v>
      </c>
      <c r="R86" s="3">
        <v>2.7699999999999999E-2</v>
      </c>
      <c r="S86" s="3">
        <v>0</v>
      </c>
      <c r="T86" s="3">
        <v>1.2742</v>
      </c>
      <c r="U86" s="3">
        <v>0.20699999999999999</v>
      </c>
    </row>
    <row r="87" spans="1:21">
      <c r="A87" s="3">
        <v>84</v>
      </c>
      <c r="B87" s="143" t="s">
        <v>278</v>
      </c>
      <c r="C87" s="31" t="s">
        <v>279</v>
      </c>
      <c r="D87" s="145" t="s">
        <v>89</v>
      </c>
      <c r="E87" s="145" t="s">
        <v>36</v>
      </c>
      <c r="F87" s="145" t="s">
        <v>268</v>
      </c>
      <c r="G87" s="145" t="s">
        <v>104</v>
      </c>
      <c r="H87" s="146" t="s">
        <v>130</v>
      </c>
      <c r="I87" s="146"/>
      <c r="J87" s="31">
        <v>151922</v>
      </c>
      <c r="K87" s="31">
        <v>6</v>
      </c>
      <c r="L87" s="3" t="s">
        <v>274</v>
      </c>
      <c r="M87" s="3" t="s">
        <v>106</v>
      </c>
      <c r="N87" s="3">
        <f>1000/24</f>
        <v>41.666666666666664</v>
      </c>
      <c r="O87" s="31" t="s">
        <v>107</v>
      </c>
      <c r="P87" s="3">
        <v>0.8</v>
      </c>
      <c r="Q87" s="3">
        <v>0.32500000000000001</v>
      </c>
      <c r="R87" s="3">
        <v>3.6943999999999999</v>
      </c>
      <c r="S87" s="3">
        <v>1.1199999999999999E-3</v>
      </c>
      <c r="T87" s="3">
        <v>0</v>
      </c>
      <c r="U87" s="3">
        <v>6.6666999999999996</v>
      </c>
    </row>
    <row r="88" spans="1:21">
      <c r="A88" s="3">
        <v>85</v>
      </c>
      <c r="B88" s="143" t="s">
        <v>280</v>
      </c>
      <c r="C88" s="31" t="s">
        <v>281</v>
      </c>
      <c r="D88" s="145" t="s">
        <v>130</v>
      </c>
      <c r="E88" s="145" t="s">
        <v>52</v>
      </c>
      <c r="F88" s="145"/>
      <c r="G88" s="145"/>
      <c r="H88" s="146" t="s">
        <v>40</v>
      </c>
      <c r="I88" s="146"/>
      <c r="J88" s="31">
        <v>637</v>
      </c>
      <c r="K88" s="31">
        <v>20</v>
      </c>
      <c r="L88" s="3" t="s">
        <v>282</v>
      </c>
      <c r="M88" s="3" t="s">
        <v>282</v>
      </c>
      <c r="N88" s="3">
        <v>1</v>
      </c>
      <c r="O88" s="31" t="s">
        <v>107</v>
      </c>
      <c r="P88" s="3">
        <v>1</v>
      </c>
      <c r="Q88" s="3">
        <v>0</v>
      </c>
      <c r="R88" s="3">
        <v>0</v>
      </c>
      <c r="S88" s="3">
        <v>0</v>
      </c>
      <c r="T88" s="3">
        <v>2.4742199999999999</v>
      </c>
      <c r="U88" s="3">
        <v>0.54159999999999997</v>
      </c>
    </row>
    <row r="89" spans="1:21">
      <c r="A89" s="3">
        <v>86</v>
      </c>
      <c r="B89" s="143" t="s">
        <v>283</v>
      </c>
      <c r="C89" s="31" t="s">
        <v>284</v>
      </c>
      <c r="D89" s="145" t="s">
        <v>118</v>
      </c>
      <c r="E89" s="145"/>
      <c r="F89" s="145"/>
      <c r="G89" s="145"/>
      <c r="H89" s="146" t="s">
        <v>285</v>
      </c>
      <c r="I89" s="146"/>
      <c r="J89" s="31">
        <v>8</v>
      </c>
      <c r="K89" s="31">
        <v>25</v>
      </c>
      <c r="L89" s="3" t="s">
        <v>106</v>
      </c>
      <c r="M89" s="3" t="s">
        <v>106</v>
      </c>
      <c r="N89" s="3">
        <v>1</v>
      </c>
      <c r="O89" s="31">
        <v>1</v>
      </c>
      <c r="P89" s="3">
        <v>1</v>
      </c>
      <c r="Q89" s="3">
        <v>0</v>
      </c>
      <c r="R89" s="3">
        <v>0</v>
      </c>
      <c r="S89" s="3">
        <v>0</v>
      </c>
      <c r="T89" s="3">
        <v>0</v>
      </c>
      <c r="U89" s="3">
        <v>1</v>
      </c>
    </row>
    <row r="90" spans="1:21">
      <c r="A90" s="3">
        <v>87</v>
      </c>
      <c r="B90" s="143" t="s">
        <v>286</v>
      </c>
      <c r="C90" s="31" t="s">
        <v>287</v>
      </c>
      <c r="D90" s="145" t="s">
        <v>285</v>
      </c>
      <c r="E90" s="145"/>
      <c r="F90" s="145"/>
      <c r="G90" s="145"/>
      <c r="H90" s="146" t="s">
        <v>118</v>
      </c>
      <c r="I90" s="146"/>
      <c r="J90" s="31">
        <v>25</v>
      </c>
      <c r="K90" s="31">
        <v>8</v>
      </c>
      <c r="L90" s="3" t="s">
        <v>106</v>
      </c>
      <c r="M90" s="3" t="s">
        <v>106</v>
      </c>
      <c r="N90" s="3">
        <v>1</v>
      </c>
      <c r="O90" s="31">
        <v>1</v>
      </c>
      <c r="P90" s="3">
        <v>1</v>
      </c>
      <c r="Q90" s="3">
        <v>0</v>
      </c>
      <c r="R90" s="3">
        <v>0</v>
      </c>
      <c r="S90" s="3">
        <v>0</v>
      </c>
      <c r="T90" s="3">
        <v>0</v>
      </c>
      <c r="U90" s="3">
        <v>1</v>
      </c>
    </row>
    <row r="91" spans="1:21">
      <c r="A91" s="3">
        <v>88</v>
      </c>
      <c r="B91" s="143" t="s">
        <v>288</v>
      </c>
      <c r="C91" s="31" t="s">
        <v>289</v>
      </c>
      <c r="D91" s="145" t="s">
        <v>145</v>
      </c>
      <c r="E91" s="145"/>
      <c r="F91" s="145"/>
      <c r="G91" s="145"/>
      <c r="H91" s="146" t="s">
        <v>290</v>
      </c>
      <c r="I91" s="146"/>
      <c r="J91" s="31">
        <v>13</v>
      </c>
      <c r="K91" s="31">
        <v>26</v>
      </c>
      <c r="L91" s="3" t="s">
        <v>106</v>
      </c>
      <c r="M91" s="3" t="s">
        <v>106</v>
      </c>
      <c r="N91" s="3">
        <v>1</v>
      </c>
      <c r="O91" s="31">
        <v>1</v>
      </c>
      <c r="P91" s="3">
        <v>1</v>
      </c>
      <c r="Q91" s="3">
        <v>0</v>
      </c>
      <c r="R91" s="3">
        <v>0</v>
      </c>
      <c r="S91" s="3">
        <v>0</v>
      </c>
      <c r="T91" s="3">
        <v>0</v>
      </c>
      <c r="U91" s="3">
        <v>1</v>
      </c>
    </row>
    <row r="92" spans="1:21">
      <c r="A92" s="3">
        <v>89</v>
      </c>
      <c r="B92" s="143" t="s">
        <v>291</v>
      </c>
      <c r="C92" s="31" t="s">
        <v>292</v>
      </c>
      <c r="D92" s="145" t="s">
        <v>290</v>
      </c>
      <c r="E92" s="145"/>
      <c r="F92" s="145"/>
      <c r="G92" s="145"/>
      <c r="H92" s="146" t="s">
        <v>145</v>
      </c>
      <c r="I92" s="146"/>
      <c r="J92" s="31">
        <v>26</v>
      </c>
      <c r="K92" s="31">
        <v>13</v>
      </c>
      <c r="L92" s="3" t="s">
        <v>106</v>
      </c>
      <c r="M92" s="3" t="s">
        <v>106</v>
      </c>
      <c r="N92" s="3">
        <v>1</v>
      </c>
      <c r="O92" s="31">
        <v>1</v>
      </c>
      <c r="P92" s="3">
        <v>1</v>
      </c>
      <c r="Q92" s="3">
        <v>0</v>
      </c>
      <c r="R92" s="3">
        <v>0</v>
      </c>
      <c r="S92" s="3">
        <v>0</v>
      </c>
      <c r="T92" s="3">
        <v>0</v>
      </c>
      <c r="U92" s="3">
        <v>1</v>
      </c>
    </row>
    <row r="93" spans="1:21">
      <c r="A93" s="3">
        <v>90</v>
      </c>
      <c r="B93" s="143" t="s">
        <v>293</v>
      </c>
      <c r="C93" s="31" t="s">
        <v>294</v>
      </c>
      <c r="D93" s="145" t="s">
        <v>145</v>
      </c>
      <c r="E93" s="145"/>
      <c r="F93" s="145"/>
      <c r="G93" s="145"/>
      <c r="H93" s="146" t="s">
        <v>295</v>
      </c>
      <c r="I93" s="146"/>
      <c r="J93" s="31">
        <v>13</v>
      </c>
      <c r="K93" s="31">
        <v>27</v>
      </c>
      <c r="L93" s="3" t="s">
        <v>106</v>
      </c>
      <c r="M93" s="3" t="s">
        <v>106</v>
      </c>
      <c r="N93" s="3">
        <v>1</v>
      </c>
      <c r="O93" s="31">
        <v>1</v>
      </c>
      <c r="P93" s="3">
        <v>1</v>
      </c>
      <c r="Q93" s="3">
        <v>0</v>
      </c>
      <c r="R93" s="3">
        <v>0</v>
      </c>
      <c r="S93" s="3">
        <v>0</v>
      </c>
      <c r="T93" s="3">
        <v>0</v>
      </c>
      <c r="U93" s="3">
        <v>1</v>
      </c>
    </row>
    <row r="94" spans="1:21">
      <c r="A94" s="3">
        <v>91</v>
      </c>
      <c r="B94" s="143" t="s">
        <v>296</v>
      </c>
      <c r="C94" s="31" t="s">
        <v>297</v>
      </c>
      <c r="D94" s="145" t="s">
        <v>295</v>
      </c>
      <c r="E94" s="145"/>
      <c r="F94" s="145"/>
      <c r="G94" s="145"/>
      <c r="H94" s="146" t="s">
        <v>145</v>
      </c>
      <c r="I94" s="146"/>
      <c r="J94" s="31">
        <v>27</v>
      </c>
      <c r="K94" s="31">
        <v>13</v>
      </c>
      <c r="L94" s="3" t="s">
        <v>106</v>
      </c>
      <c r="M94" s="3" t="s">
        <v>106</v>
      </c>
      <c r="N94" s="3">
        <v>1</v>
      </c>
      <c r="O94" s="31">
        <v>1</v>
      </c>
      <c r="P94" s="3">
        <v>1</v>
      </c>
      <c r="Q94" s="3">
        <v>0</v>
      </c>
      <c r="R94" s="3">
        <v>0</v>
      </c>
      <c r="S94" s="3">
        <v>0</v>
      </c>
      <c r="T94" s="3">
        <v>0</v>
      </c>
      <c r="U94" s="3">
        <v>1</v>
      </c>
    </row>
    <row r="95" spans="1:21">
      <c r="A95" s="3">
        <v>92</v>
      </c>
      <c r="B95" s="143" t="s">
        <v>298</v>
      </c>
      <c r="C95" s="31" t="s">
        <v>299</v>
      </c>
      <c r="D95" s="145" t="s">
        <v>145</v>
      </c>
      <c r="E95" s="145"/>
      <c r="F95" s="145"/>
      <c r="G95" s="145"/>
      <c r="H95" s="146" t="s">
        <v>300</v>
      </c>
      <c r="I95" s="146"/>
      <c r="J95" s="31">
        <v>13</v>
      </c>
      <c r="K95" s="31">
        <v>28</v>
      </c>
      <c r="L95" s="3" t="s">
        <v>106</v>
      </c>
      <c r="M95" s="3" t="s">
        <v>106</v>
      </c>
      <c r="N95" s="3">
        <v>1</v>
      </c>
      <c r="O95" s="31">
        <v>1</v>
      </c>
      <c r="P95" s="3">
        <v>1</v>
      </c>
      <c r="Q95" s="3">
        <v>0</v>
      </c>
      <c r="R95" s="3">
        <v>0</v>
      </c>
      <c r="S95" s="3">
        <v>0</v>
      </c>
      <c r="T95" s="3">
        <v>0</v>
      </c>
      <c r="U95" s="3">
        <v>1</v>
      </c>
    </row>
    <row r="96" spans="1:21">
      <c r="A96" s="3">
        <v>93</v>
      </c>
      <c r="B96" s="143" t="s">
        <v>301</v>
      </c>
      <c r="C96" s="31" t="s">
        <v>302</v>
      </c>
      <c r="D96" s="145" t="s">
        <v>300</v>
      </c>
      <c r="E96" s="145"/>
      <c r="F96" s="145"/>
      <c r="G96" s="145"/>
      <c r="H96" s="146" t="s">
        <v>145</v>
      </c>
      <c r="I96" s="146"/>
      <c r="J96" s="31">
        <v>28</v>
      </c>
      <c r="K96" s="31">
        <v>13</v>
      </c>
      <c r="L96" s="3" t="s">
        <v>106</v>
      </c>
      <c r="M96" s="3" t="s">
        <v>106</v>
      </c>
      <c r="N96" s="3">
        <v>1</v>
      </c>
      <c r="O96" s="31">
        <v>1</v>
      </c>
      <c r="P96" s="3">
        <v>1</v>
      </c>
      <c r="Q96" s="3">
        <v>0</v>
      </c>
      <c r="R96" s="3">
        <v>0</v>
      </c>
      <c r="S96" s="3">
        <v>0</v>
      </c>
      <c r="T96" s="3">
        <v>0</v>
      </c>
      <c r="U96" s="3">
        <v>1</v>
      </c>
    </row>
    <row r="97" spans="1:21">
      <c r="A97" s="3">
        <v>94</v>
      </c>
      <c r="B97" s="143" t="s">
        <v>303</v>
      </c>
      <c r="C97" s="31" t="s">
        <v>304</v>
      </c>
      <c r="D97" s="145" t="s">
        <v>190</v>
      </c>
      <c r="E97" s="145"/>
      <c r="F97" s="145"/>
      <c r="G97" s="145"/>
      <c r="H97" s="146" t="s">
        <v>305</v>
      </c>
      <c r="I97" s="146"/>
      <c r="J97" s="31">
        <v>14</v>
      </c>
      <c r="K97" s="31">
        <v>29</v>
      </c>
      <c r="L97" s="3" t="s">
        <v>106</v>
      </c>
      <c r="M97" s="3" t="s">
        <v>106</v>
      </c>
      <c r="N97" s="3">
        <v>1</v>
      </c>
      <c r="O97" s="31">
        <v>1</v>
      </c>
      <c r="P97" s="3">
        <v>1</v>
      </c>
      <c r="Q97" s="3">
        <v>0</v>
      </c>
      <c r="R97" s="3">
        <v>0</v>
      </c>
      <c r="S97" s="3">
        <v>0</v>
      </c>
      <c r="T97" s="3">
        <v>0</v>
      </c>
      <c r="U97" s="3">
        <v>1</v>
      </c>
    </row>
    <row r="98" spans="1:21">
      <c r="A98" s="3">
        <v>95</v>
      </c>
      <c r="B98" s="143" t="s">
        <v>306</v>
      </c>
      <c r="C98" s="31" t="s">
        <v>307</v>
      </c>
      <c r="D98" s="145" t="s">
        <v>305</v>
      </c>
      <c r="E98" s="145"/>
      <c r="F98" s="145"/>
      <c r="G98" s="145"/>
      <c r="H98" s="146" t="s">
        <v>190</v>
      </c>
      <c r="I98" s="146"/>
      <c r="J98" s="31">
        <v>29</v>
      </c>
      <c r="K98" s="31">
        <v>14</v>
      </c>
      <c r="L98" s="3" t="s">
        <v>106</v>
      </c>
      <c r="M98" s="3" t="s">
        <v>106</v>
      </c>
      <c r="N98" s="3">
        <v>1</v>
      </c>
      <c r="O98" s="31">
        <v>1</v>
      </c>
      <c r="P98" s="3">
        <v>1</v>
      </c>
      <c r="Q98" s="3">
        <v>0</v>
      </c>
      <c r="R98" s="3">
        <v>0</v>
      </c>
      <c r="S98" s="3">
        <v>0</v>
      </c>
      <c r="T98" s="3">
        <v>0</v>
      </c>
      <c r="U98" s="3">
        <v>1</v>
      </c>
    </row>
    <row r="99" spans="1:21">
      <c r="A99" s="3">
        <v>96</v>
      </c>
      <c r="B99" s="143" t="s">
        <v>308</v>
      </c>
      <c r="C99" s="31" t="s">
        <v>309</v>
      </c>
      <c r="D99" s="145" t="s">
        <v>124</v>
      </c>
      <c r="E99" s="145"/>
      <c r="F99" s="145"/>
      <c r="G99" s="145"/>
      <c r="H99" s="146" t="s">
        <v>310</v>
      </c>
      <c r="I99" s="146"/>
      <c r="J99" s="31">
        <v>16</v>
      </c>
      <c r="K99" s="31">
        <v>30</v>
      </c>
      <c r="L99" s="3" t="s">
        <v>106</v>
      </c>
      <c r="M99" s="3" t="s">
        <v>106</v>
      </c>
      <c r="N99" s="3">
        <v>1</v>
      </c>
      <c r="O99" s="31">
        <v>1</v>
      </c>
      <c r="P99" s="3">
        <v>1</v>
      </c>
      <c r="Q99" s="3">
        <v>0</v>
      </c>
      <c r="R99" s="3">
        <v>0</v>
      </c>
      <c r="S99" s="3">
        <v>0</v>
      </c>
      <c r="T99" s="3">
        <v>0</v>
      </c>
      <c r="U99" s="3">
        <v>1</v>
      </c>
    </row>
    <row r="100" spans="1:21">
      <c r="A100" s="3">
        <v>97</v>
      </c>
      <c r="B100" s="143" t="s">
        <v>311</v>
      </c>
      <c r="C100" s="31" t="s">
        <v>312</v>
      </c>
      <c r="D100" s="145" t="s">
        <v>310</v>
      </c>
      <c r="E100" s="145"/>
      <c r="F100" s="145"/>
      <c r="G100" s="145"/>
      <c r="H100" s="146" t="s">
        <v>124</v>
      </c>
      <c r="I100" s="146"/>
      <c r="J100" s="31">
        <v>30</v>
      </c>
      <c r="K100" s="31">
        <v>16</v>
      </c>
      <c r="L100" s="3" t="s">
        <v>106</v>
      </c>
      <c r="M100" s="3" t="s">
        <v>106</v>
      </c>
      <c r="N100" s="3">
        <v>1</v>
      </c>
      <c r="O100" s="31">
        <v>1</v>
      </c>
      <c r="P100" s="3">
        <v>1</v>
      </c>
      <c r="Q100" s="3">
        <v>0</v>
      </c>
      <c r="R100" s="3">
        <v>0</v>
      </c>
      <c r="S100" s="3">
        <v>0</v>
      </c>
      <c r="T100" s="3">
        <v>0</v>
      </c>
      <c r="U100" s="3">
        <v>1</v>
      </c>
    </row>
    <row r="101" spans="1:21">
      <c r="A101" s="3">
        <v>98</v>
      </c>
      <c r="B101" s="143" t="s">
        <v>313</v>
      </c>
      <c r="C101" s="31" t="s">
        <v>314</v>
      </c>
      <c r="D101" s="145" t="s">
        <v>24</v>
      </c>
      <c r="E101" s="145"/>
      <c r="F101" s="145"/>
      <c r="G101" s="145"/>
      <c r="H101" s="146" t="s">
        <v>315</v>
      </c>
      <c r="I101" s="146"/>
      <c r="J101" s="31">
        <v>17</v>
      </c>
      <c r="K101" s="31">
        <v>31</v>
      </c>
      <c r="L101" s="3" t="s">
        <v>106</v>
      </c>
      <c r="M101" s="3" t="s">
        <v>106</v>
      </c>
      <c r="N101" s="3">
        <v>1</v>
      </c>
      <c r="O101" s="31">
        <v>1</v>
      </c>
      <c r="P101" s="3">
        <v>1</v>
      </c>
      <c r="Q101" s="3">
        <v>0</v>
      </c>
      <c r="R101" s="3">
        <v>0</v>
      </c>
      <c r="S101" s="3">
        <v>0</v>
      </c>
      <c r="T101" s="3">
        <v>0</v>
      </c>
      <c r="U101" s="3">
        <v>1</v>
      </c>
    </row>
    <row r="102" spans="1:21">
      <c r="A102" s="3">
        <v>99</v>
      </c>
      <c r="B102" s="143" t="s">
        <v>316</v>
      </c>
      <c r="C102" s="31" t="s">
        <v>317</v>
      </c>
      <c r="D102" s="145" t="s">
        <v>315</v>
      </c>
      <c r="E102" s="145"/>
      <c r="F102" s="145"/>
      <c r="G102" s="145"/>
      <c r="H102" s="146" t="s">
        <v>24</v>
      </c>
      <c r="I102" s="146"/>
      <c r="J102" s="31">
        <v>31</v>
      </c>
      <c r="K102" s="31">
        <v>17</v>
      </c>
      <c r="L102" s="3" t="s">
        <v>106</v>
      </c>
      <c r="M102" s="3" t="s">
        <v>106</v>
      </c>
      <c r="N102" s="3">
        <v>1</v>
      </c>
      <c r="O102" s="31">
        <v>1</v>
      </c>
      <c r="P102" s="3">
        <v>1</v>
      </c>
      <c r="Q102" s="3">
        <v>0</v>
      </c>
      <c r="R102" s="3">
        <v>0</v>
      </c>
      <c r="S102" s="3">
        <v>0</v>
      </c>
      <c r="T102" s="3">
        <v>0</v>
      </c>
      <c r="U102" s="3">
        <v>1</v>
      </c>
    </row>
    <row r="103" spans="1:21">
      <c r="A103" s="3">
        <v>100</v>
      </c>
      <c r="B103" s="143" t="s">
        <v>318</v>
      </c>
      <c r="C103" s="31" t="s">
        <v>319</v>
      </c>
      <c r="D103" s="145" t="s">
        <v>30</v>
      </c>
      <c r="E103" s="145"/>
      <c r="F103" s="145"/>
      <c r="G103" s="145"/>
      <c r="H103" s="146" t="s">
        <v>320</v>
      </c>
      <c r="I103" s="146"/>
      <c r="J103" s="31">
        <v>18</v>
      </c>
      <c r="K103" s="31">
        <v>32</v>
      </c>
      <c r="L103" s="3" t="s">
        <v>270</v>
      </c>
      <c r="M103" s="3" t="s">
        <v>270</v>
      </c>
      <c r="N103" s="3">
        <v>1</v>
      </c>
      <c r="O103" s="31">
        <v>1</v>
      </c>
      <c r="P103" s="3">
        <v>1</v>
      </c>
      <c r="Q103" s="3">
        <v>0</v>
      </c>
      <c r="R103" s="3">
        <v>0</v>
      </c>
      <c r="S103" s="3">
        <v>0</v>
      </c>
      <c r="T103" s="3">
        <v>0</v>
      </c>
      <c r="U103" s="3">
        <v>1</v>
      </c>
    </row>
    <row r="104" spans="1:21">
      <c r="A104" s="3">
        <v>101</v>
      </c>
      <c r="B104" s="143" t="s">
        <v>321</v>
      </c>
      <c r="C104" s="31" t="s">
        <v>322</v>
      </c>
      <c r="D104" s="145" t="s">
        <v>320</v>
      </c>
      <c r="E104" s="145"/>
      <c r="F104" s="145"/>
      <c r="G104" s="145"/>
      <c r="H104" s="146" t="s">
        <v>30</v>
      </c>
      <c r="I104" s="146"/>
      <c r="J104" s="31">
        <v>32</v>
      </c>
      <c r="K104" s="31">
        <v>18</v>
      </c>
      <c r="L104" s="3" t="s">
        <v>270</v>
      </c>
      <c r="M104" s="3" t="s">
        <v>270</v>
      </c>
      <c r="N104" s="3">
        <v>1</v>
      </c>
      <c r="O104" s="31">
        <v>1</v>
      </c>
      <c r="P104" s="3">
        <v>1</v>
      </c>
      <c r="Q104" s="3">
        <v>0</v>
      </c>
      <c r="R104" s="3">
        <v>0</v>
      </c>
      <c r="S104" s="3">
        <v>0</v>
      </c>
      <c r="T104" s="3">
        <v>0</v>
      </c>
      <c r="U104" s="3">
        <v>1</v>
      </c>
    </row>
    <row r="105" spans="1:21">
      <c r="A105" s="3">
        <v>102</v>
      </c>
      <c r="B105" s="143" t="s">
        <v>323</v>
      </c>
      <c r="C105" s="31" t="s">
        <v>324</v>
      </c>
      <c r="D105" s="145" t="s">
        <v>36</v>
      </c>
      <c r="E105" s="145"/>
      <c r="F105" s="145"/>
      <c r="G105" s="145"/>
      <c r="H105" s="146" t="s">
        <v>325</v>
      </c>
      <c r="I105" s="146"/>
      <c r="J105" s="31">
        <v>19</v>
      </c>
      <c r="K105" s="31">
        <v>33</v>
      </c>
      <c r="L105" s="3" t="s">
        <v>277</v>
      </c>
      <c r="M105" s="3" t="s">
        <v>277</v>
      </c>
      <c r="N105" s="3">
        <v>1</v>
      </c>
      <c r="O105" s="31">
        <v>1</v>
      </c>
      <c r="P105" s="3">
        <v>1</v>
      </c>
      <c r="Q105" s="3">
        <v>0</v>
      </c>
      <c r="R105" s="3">
        <v>0</v>
      </c>
      <c r="S105" s="3">
        <v>0</v>
      </c>
      <c r="T105" s="3">
        <v>0</v>
      </c>
      <c r="U105" s="3">
        <v>1</v>
      </c>
    </row>
    <row r="106" spans="1:21">
      <c r="A106" s="3">
        <v>103</v>
      </c>
      <c r="B106" s="143" t="s">
        <v>326</v>
      </c>
      <c r="C106" s="31" t="s">
        <v>327</v>
      </c>
      <c r="D106" s="145" t="s">
        <v>325</v>
      </c>
      <c r="E106" s="145"/>
      <c r="F106" s="145"/>
      <c r="G106" s="145"/>
      <c r="H106" s="146" t="s">
        <v>36</v>
      </c>
      <c r="I106" s="146"/>
      <c r="J106" s="31">
        <v>33</v>
      </c>
      <c r="K106" s="31">
        <v>19</v>
      </c>
      <c r="L106" s="3" t="s">
        <v>277</v>
      </c>
      <c r="M106" s="3" t="s">
        <v>277</v>
      </c>
      <c r="N106" s="3">
        <v>1</v>
      </c>
      <c r="O106" s="31">
        <v>1</v>
      </c>
      <c r="P106" s="3">
        <v>1</v>
      </c>
      <c r="Q106" s="3">
        <v>0</v>
      </c>
      <c r="R106" s="3">
        <v>0</v>
      </c>
      <c r="S106" s="3">
        <v>0</v>
      </c>
      <c r="T106" s="3">
        <v>0</v>
      </c>
      <c r="U106" s="3">
        <v>1</v>
      </c>
    </row>
    <row r="107" spans="1:21">
      <c r="A107" s="3">
        <v>104</v>
      </c>
      <c r="B107" s="143" t="s">
        <v>328</v>
      </c>
      <c r="C107" s="31" t="s">
        <v>329</v>
      </c>
      <c r="D107" s="145" t="s">
        <v>40</v>
      </c>
      <c r="E107" s="145"/>
      <c r="F107" s="145"/>
      <c r="G107" s="145"/>
      <c r="H107" s="146" t="s">
        <v>330</v>
      </c>
      <c r="I107" s="146"/>
      <c r="J107" s="31">
        <v>20</v>
      </c>
      <c r="K107" s="31">
        <v>34</v>
      </c>
      <c r="L107" s="3" t="s">
        <v>282</v>
      </c>
      <c r="M107" s="3" t="s">
        <v>282</v>
      </c>
      <c r="N107" s="3">
        <v>1</v>
      </c>
      <c r="O107" s="31">
        <v>1</v>
      </c>
      <c r="P107" s="3">
        <v>1</v>
      </c>
      <c r="Q107" s="3">
        <v>0</v>
      </c>
      <c r="R107" s="3">
        <v>0</v>
      </c>
      <c r="S107" s="3">
        <v>0</v>
      </c>
      <c r="T107" s="3">
        <v>0</v>
      </c>
      <c r="U107" s="3">
        <v>1</v>
      </c>
    </row>
    <row r="108" spans="1:21">
      <c r="A108" s="3">
        <v>105</v>
      </c>
      <c r="B108" s="143" t="s">
        <v>331</v>
      </c>
      <c r="C108" s="31" t="s">
        <v>332</v>
      </c>
      <c r="D108" s="145" t="s">
        <v>330</v>
      </c>
      <c r="E108" s="145"/>
      <c r="F108" s="145"/>
      <c r="G108" s="145"/>
      <c r="H108" s="146" t="s">
        <v>40</v>
      </c>
      <c r="I108" s="146"/>
      <c r="J108" s="31">
        <v>34</v>
      </c>
      <c r="K108" s="31">
        <v>20</v>
      </c>
      <c r="L108" s="3" t="s">
        <v>282</v>
      </c>
      <c r="M108" s="3" t="s">
        <v>282</v>
      </c>
      <c r="N108" s="3">
        <v>1</v>
      </c>
      <c r="O108" s="31">
        <v>1</v>
      </c>
      <c r="P108" s="3">
        <v>1</v>
      </c>
      <c r="Q108" s="3">
        <v>0</v>
      </c>
      <c r="R108" s="3">
        <v>0</v>
      </c>
      <c r="S108" s="3">
        <v>0</v>
      </c>
      <c r="T108" s="3">
        <v>0</v>
      </c>
      <c r="U108" s="3">
        <v>1</v>
      </c>
    </row>
    <row r="109" spans="1:21">
      <c r="A109" s="3">
        <v>106</v>
      </c>
      <c r="B109" s="143" t="s">
        <v>333</v>
      </c>
      <c r="C109" s="31" t="s">
        <v>334</v>
      </c>
      <c r="D109" s="145" t="s">
        <v>40</v>
      </c>
      <c r="E109" s="145" t="s">
        <v>104</v>
      </c>
      <c r="F109" s="145"/>
      <c r="G109" s="145"/>
      <c r="H109" s="146" t="s">
        <v>89</v>
      </c>
      <c r="I109" s="146"/>
      <c r="J109" s="31">
        <v>205</v>
      </c>
      <c r="K109" s="31">
        <v>1</v>
      </c>
      <c r="L109" s="3" t="s">
        <v>90</v>
      </c>
      <c r="M109" s="3" t="s">
        <v>90</v>
      </c>
      <c r="N109" s="3">
        <v>1</v>
      </c>
      <c r="O109" s="31" t="s">
        <v>107</v>
      </c>
      <c r="P109" s="3">
        <v>1</v>
      </c>
      <c r="Q109" s="3">
        <v>1</v>
      </c>
      <c r="R109" s="3">
        <v>0</v>
      </c>
      <c r="S109" s="3">
        <v>1.14E-2</v>
      </c>
      <c r="T109" s="3">
        <v>0</v>
      </c>
      <c r="U109" s="3">
        <f>IF($I$1=2020,0,IF($I$1=2025,'Re-Electrification'!C6,IF($I$1=2030,'Re-Electrification'!D6,IF($I$1=2035,'Re-Electrification'!E6,IF($I$1=2040,'Re-Electrification'!F6,IF($I$1=2045,'Re-Electrification'!G6,'Re-Electrification'!H6))))))</f>
        <v>0.11990000000000001</v>
      </c>
    </row>
    <row r="110" spans="1:21" ht="28.5">
      <c r="A110" s="3">
        <v>107</v>
      </c>
      <c r="B110" s="144" t="s">
        <v>335</v>
      </c>
      <c r="C110" s="31" t="s">
        <v>336</v>
      </c>
      <c r="D110" s="145" t="s">
        <v>40</v>
      </c>
      <c r="E110" s="145" t="s">
        <v>104</v>
      </c>
      <c r="F110" s="145"/>
      <c r="G110" s="145"/>
      <c r="H110" s="146" t="s">
        <v>89</v>
      </c>
      <c r="I110" s="146" t="s">
        <v>337</v>
      </c>
      <c r="J110" s="31">
        <v>205</v>
      </c>
      <c r="K110" s="31">
        <v>124</v>
      </c>
      <c r="L110" s="3" t="s">
        <v>90</v>
      </c>
      <c r="M110" s="3" t="s">
        <v>90</v>
      </c>
      <c r="N110" s="3">
        <v>1</v>
      </c>
      <c r="O110" s="31" t="s">
        <v>107</v>
      </c>
      <c r="P110" s="3">
        <v>1</v>
      </c>
      <c r="Q110" s="3">
        <v>1</v>
      </c>
      <c r="R110" s="31">
        <f>IF($I$1=2020,0,IF($I$1=2025,'Re-Electrification'!C20,IF($I$1=2030,'Re-Electrification'!D20,IF($I$1=2035,'Re-Electrification'!E20,IF($I$1=2040,'Re-Electrification'!F20,IF($I$1=2045,'Re-Electrification'!G20,'Re-Electrification'!H20))))))</f>
        <v>0.64516099999999998</v>
      </c>
      <c r="S110" s="3">
        <v>1.14E-2</v>
      </c>
      <c r="T110" s="31">
        <v>0</v>
      </c>
      <c r="U110" s="31">
        <f>IF($I$1=2020,0,IF($I$1=2025,'Re-Electrification'!C19,IF($I$1=2030,'Re-Electrification'!D19,IF($I$1=2035,'Re-Electrification'!E19,IF($I$1=2040,'Re-Electrification'!F19,IF($I$1=2045,'Re-Electrification'!G19,'Re-Electrification'!H19))))))</f>
        <v>0.13835</v>
      </c>
    </row>
    <row r="111" spans="1:21">
      <c r="A111" s="3">
        <v>108</v>
      </c>
      <c r="B111" s="18" t="s">
        <v>338</v>
      </c>
      <c r="C111" s="31" t="s">
        <v>339</v>
      </c>
      <c r="D111" s="145" t="s">
        <v>40</v>
      </c>
      <c r="E111" s="145"/>
      <c r="F111" s="145"/>
      <c r="G111" s="145"/>
      <c r="H111" s="146" t="s">
        <v>89</v>
      </c>
      <c r="I111" s="146"/>
      <c r="J111" s="31">
        <v>20</v>
      </c>
      <c r="K111" s="31">
        <v>1</v>
      </c>
      <c r="L111" s="3" t="s">
        <v>90</v>
      </c>
      <c r="M111" s="3" t="s">
        <v>90</v>
      </c>
      <c r="N111" s="3">
        <v>1</v>
      </c>
      <c r="O111" s="31" t="s">
        <v>107</v>
      </c>
      <c r="P111" s="3">
        <v>1</v>
      </c>
      <c r="Q111" s="3">
        <v>1</v>
      </c>
      <c r="R111" s="31">
        <v>0</v>
      </c>
      <c r="S111" s="3">
        <v>0</v>
      </c>
      <c r="T111" s="3">
        <v>0</v>
      </c>
      <c r="U111" s="31">
        <f>IF($I$1=2020,0,IF($I$1=2025,'Re-Electrification'!C33,IF($I$1=2030,'Re-Electrification'!D33,IF($I$1=2035,'Re-Electrification'!E33,IF($I$1=2040,'Re-Electrification'!F33,IF($I$1=2045,'Re-Electrification'!G33,'Re-Electrification'!H33))))))</f>
        <v>0.15987199999999999</v>
      </c>
    </row>
    <row r="112" spans="1:21" ht="28.5">
      <c r="A112" s="3">
        <v>109</v>
      </c>
      <c r="B112" s="142" t="s">
        <v>340</v>
      </c>
      <c r="C112" s="31" t="s">
        <v>341</v>
      </c>
      <c r="D112" s="145" t="s">
        <v>40</v>
      </c>
      <c r="E112" s="145"/>
      <c r="F112" s="145"/>
      <c r="G112" s="145"/>
      <c r="H112" s="146" t="s">
        <v>89</v>
      </c>
      <c r="I112" s="146" t="s">
        <v>342</v>
      </c>
      <c r="J112" s="31">
        <v>20</v>
      </c>
      <c r="K112" s="31">
        <v>123</v>
      </c>
      <c r="L112" s="3" t="s">
        <v>90</v>
      </c>
      <c r="M112" s="3" t="s">
        <v>90</v>
      </c>
      <c r="N112" s="3">
        <v>1</v>
      </c>
      <c r="O112" s="31" t="s">
        <v>107</v>
      </c>
      <c r="P112" s="3">
        <v>1</v>
      </c>
      <c r="Q112" s="3">
        <v>1</v>
      </c>
      <c r="R112" s="31">
        <f>IF($I$1=2020,0,IF($I$1=2025,'Re-Electrification'!C47,IF($I$1=2030,'Re-Electrification'!D47,IF($I$1=2035,'Re-Electrification'!E47,IF($I$1=2040,'Re-Electrification'!F47,IF($I$1=2045,'Re-Electrification'!G47,'Re-Electrification'!H47))))))</f>
        <v>1</v>
      </c>
      <c r="S112" s="3">
        <v>0</v>
      </c>
      <c r="T112" s="31">
        <v>0</v>
      </c>
      <c r="U112" s="31">
        <f>IF($I$1=2020,0,IF($I$1=2025,'Re-Electrification'!C46,IF($I$1=2030,'Re-Electrification'!D46,IF($I$1=2035,'Re-Electrification'!E46,IF($I$1=2040,'Re-Electrification'!F46,IF($I$1=2045,'Re-Electrification'!G46,'Re-Electrification'!H46))))))</f>
        <v>0.15987199999999999</v>
      </c>
    </row>
    <row r="113" spans="1:21">
      <c r="A113" s="3">
        <v>110</v>
      </c>
      <c r="B113" s="18" t="s">
        <v>343</v>
      </c>
      <c r="C113" s="31" t="s">
        <v>344</v>
      </c>
      <c r="D113" s="145" t="s">
        <v>130</v>
      </c>
      <c r="E113" s="145" t="s">
        <v>104</v>
      </c>
      <c r="F113" s="145"/>
      <c r="G113" s="145"/>
      <c r="H113" s="146" t="s">
        <v>89</v>
      </c>
      <c r="I113" s="146"/>
      <c r="J113" s="31">
        <v>65</v>
      </c>
      <c r="K113" s="31">
        <v>1</v>
      </c>
      <c r="L113" s="3" t="s">
        <v>90</v>
      </c>
      <c r="M113" s="3" t="s">
        <v>90</v>
      </c>
      <c r="N113" s="3">
        <v>1</v>
      </c>
      <c r="O113" s="31" t="s">
        <v>107</v>
      </c>
      <c r="P113" s="3">
        <v>1</v>
      </c>
      <c r="Q113" s="3">
        <v>1</v>
      </c>
      <c r="R113" s="31">
        <v>0</v>
      </c>
      <c r="S113" s="3">
        <v>1.14E-2</v>
      </c>
      <c r="T113" s="3">
        <v>0</v>
      </c>
      <c r="U113" s="31">
        <f>IF($I$1=2020,0,IF($I$1=2025,0,IF($I$1=2030,'Re-Electrification'!D60,IF($I$1=2035,'Re-Electrification'!E60,IF($I$1=2040,'Re-Electrification'!F60,IF($I$1=2045,'Re-Electrification'!G60,'Re-Electrification'!H60))))))</f>
        <v>0.05</v>
      </c>
    </row>
    <row r="114" spans="1:21" ht="28.5">
      <c r="A114" s="3">
        <v>111</v>
      </c>
      <c r="B114" s="142" t="s">
        <v>345</v>
      </c>
      <c r="C114" s="31" t="s">
        <v>346</v>
      </c>
      <c r="D114" s="145" t="s">
        <v>130</v>
      </c>
      <c r="E114" s="145" t="s">
        <v>104</v>
      </c>
      <c r="F114" s="145"/>
      <c r="G114" s="145"/>
      <c r="H114" s="146" t="s">
        <v>89</v>
      </c>
      <c r="I114" s="146" t="s">
        <v>337</v>
      </c>
      <c r="J114" s="31">
        <v>65</v>
      </c>
      <c r="K114" s="31">
        <v>124</v>
      </c>
      <c r="L114" s="3" t="s">
        <v>90</v>
      </c>
      <c r="M114" s="3" t="s">
        <v>90</v>
      </c>
      <c r="N114" s="3">
        <v>1</v>
      </c>
      <c r="O114" s="31" t="s">
        <v>107</v>
      </c>
      <c r="P114" s="3">
        <v>1</v>
      </c>
      <c r="Q114" s="3">
        <v>1</v>
      </c>
      <c r="R114" s="31">
        <f>IF($I$1=2020,0,IF($I$1=2025,0,IF($I$1=2030,'Re-Electrification'!D74,IF($I$1=2035,'Re-Electrification'!E74,IF($I$1=2040,'Re-Electrification'!F74,IF($I$1=2045,'Re-Electrification'!G74,'Re-Electrification'!H74))))))</f>
        <v>0.64516099999999998</v>
      </c>
      <c r="S114" s="3">
        <v>1.14E-2</v>
      </c>
      <c r="T114" s="31">
        <v>0</v>
      </c>
      <c r="U114" s="31">
        <f>IF($I$1=2020,0,IF($I$1=2025,0,IF($I$1=2030,'Re-Electrification'!D73,IF($I$1=2035,'Re-Electrification'!E73,IF($I$1=2040,'Re-Electrification'!F73,IF($I$1=2045,'Re-Electrification'!G73,'Re-Electrification'!H73))))))</f>
        <v>5.7700000000000001E-2</v>
      </c>
    </row>
    <row r="115" spans="1:21">
      <c r="A115" s="3">
        <v>112</v>
      </c>
      <c r="B115" s="18" t="s">
        <v>347</v>
      </c>
      <c r="C115" s="31" t="s">
        <v>348</v>
      </c>
      <c r="D115" s="145" t="s">
        <v>130</v>
      </c>
      <c r="E115" s="145"/>
      <c r="F115" s="145"/>
      <c r="G115" s="145"/>
      <c r="H115" s="146" t="s">
        <v>89</v>
      </c>
      <c r="I115" s="146"/>
      <c r="J115" s="31">
        <v>6</v>
      </c>
      <c r="K115" s="31">
        <v>1</v>
      </c>
      <c r="L115" s="3" t="s">
        <v>90</v>
      </c>
      <c r="M115" s="3" t="s">
        <v>90</v>
      </c>
      <c r="N115" s="3">
        <v>1</v>
      </c>
      <c r="O115" s="31" t="s">
        <v>107</v>
      </c>
      <c r="P115" s="3">
        <v>1</v>
      </c>
      <c r="Q115" s="3">
        <v>1</v>
      </c>
      <c r="R115" s="31">
        <v>0</v>
      </c>
      <c r="S115" s="3">
        <v>0</v>
      </c>
      <c r="T115" s="3">
        <v>0</v>
      </c>
      <c r="U115" s="31">
        <f>IF($I$1=2020,0,IF($I$1=2025,0,IF($I$1=2030,'Re-Electrification'!D87,IF($I$1=2035,'Re-Electrification'!E87,IF($I$1=2040,'Re-Electrification'!F87,IF($I$1=2045,'Re-Electrification'!G87,'Re-Electrification'!H87))))))</f>
        <v>6.6669999999999993E-2</v>
      </c>
    </row>
    <row r="116" spans="1:21" ht="28.5">
      <c r="A116" s="3">
        <v>113</v>
      </c>
      <c r="B116" s="142" t="s">
        <v>349</v>
      </c>
      <c r="C116" s="31" t="s">
        <v>350</v>
      </c>
      <c r="D116" s="145" t="s">
        <v>130</v>
      </c>
      <c r="E116" s="145"/>
      <c r="F116" s="145"/>
      <c r="G116" s="145"/>
      <c r="H116" s="146" t="s">
        <v>89</v>
      </c>
      <c r="I116" s="146" t="s">
        <v>342</v>
      </c>
      <c r="J116" s="31">
        <v>6</v>
      </c>
      <c r="K116" s="31">
        <v>123</v>
      </c>
      <c r="L116" s="3" t="s">
        <v>90</v>
      </c>
      <c r="M116" s="3" t="s">
        <v>90</v>
      </c>
      <c r="N116" s="3">
        <v>1</v>
      </c>
      <c r="O116" s="31" t="s">
        <v>107</v>
      </c>
      <c r="P116" s="31">
        <v>1</v>
      </c>
      <c r="Q116" s="31">
        <v>1</v>
      </c>
      <c r="R116" s="31">
        <f>IF($I$1=2020,0,IF($I$1=2025,0,IF($I$1=2030,'Re-Electrification'!D101,IF($I$1=2035,'Re-Electrification'!E101,IF($I$1=2040,'Re-Electrification'!F101,IF($I$1=2045,'Re-Electrification'!G101,'Re-Electrification'!H101))))))</f>
        <v>1</v>
      </c>
      <c r="S116" s="31">
        <v>0</v>
      </c>
      <c r="T116" s="31">
        <v>0</v>
      </c>
      <c r="U116" s="31">
        <f>IF($I$1=2020,0,IF($I$1=2025,0,IF($I$1=2030,'Re-Electrification'!D100,IF($I$1=2035,'Re-Electrification'!E100,IF($I$1=2040,'Re-Electrification'!F100,IF($I$1=2045,'Re-Electrification'!G100,'Re-Electrification'!H100))))))</f>
        <v>6.6669999999999993E-2</v>
      </c>
    </row>
    <row r="117" spans="1:21">
      <c r="A117" s="3">
        <v>114</v>
      </c>
      <c r="B117" s="18" t="s">
        <v>351</v>
      </c>
      <c r="C117" s="31" t="s">
        <v>352</v>
      </c>
      <c r="D117" s="145" t="s">
        <v>130</v>
      </c>
      <c r="E117" s="145"/>
      <c r="F117" s="145"/>
      <c r="G117" s="145"/>
      <c r="H117" s="146" t="s">
        <v>89</v>
      </c>
      <c r="I117" s="146"/>
      <c r="J117" s="31">
        <v>6</v>
      </c>
      <c r="K117" s="31">
        <v>1</v>
      </c>
      <c r="L117" s="3" t="s">
        <v>90</v>
      </c>
      <c r="M117" s="3" t="s">
        <v>90</v>
      </c>
      <c r="N117" s="3">
        <v>1</v>
      </c>
      <c r="O117" s="31" t="s">
        <v>107</v>
      </c>
      <c r="P117" s="3">
        <v>1</v>
      </c>
      <c r="Q117" s="3">
        <v>1</v>
      </c>
      <c r="R117" s="31">
        <v>0</v>
      </c>
      <c r="S117" s="3">
        <v>0</v>
      </c>
      <c r="T117" s="3">
        <v>0</v>
      </c>
      <c r="U117" s="31">
        <f>IF($I$1=2020,0,IF($I$1=2025,'Re-Electrification'!C114,IF($I$1=2030,'Re-Electrification'!D114,IF($I$1=2035,'Re-Electrification'!E114,IF($I$1=2040,'Re-Electrification'!F114,IF($I$1=2045,'Re-Electrification'!G114,'Re-Electrification'!H114))))))</f>
        <v>4.4527999999999998E-2</v>
      </c>
    </row>
    <row r="118" spans="1:21">
      <c r="A118" s="3">
        <v>115</v>
      </c>
      <c r="B118" s="18" t="s">
        <v>353</v>
      </c>
      <c r="C118" s="31" t="s">
        <v>354</v>
      </c>
      <c r="D118" s="145" t="s">
        <v>130</v>
      </c>
      <c r="E118" s="145"/>
      <c r="F118" s="145"/>
      <c r="G118" s="145"/>
      <c r="H118" s="146" t="s">
        <v>89</v>
      </c>
      <c r="I118" s="146" t="s">
        <v>273</v>
      </c>
      <c r="J118" s="31">
        <v>6</v>
      </c>
      <c r="K118" s="31">
        <v>121</v>
      </c>
      <c r="L118" s="3" t="s">
        <v>90</v>
      </c>
      <c r="M118" s="3" t="s">
        <v>90</v>
      </c>
      <c r="N118" s="3">
        <v>1</v>
      </c>
      <c r="O118" s="31" t="s">
        <v>107</v>
      </c>
      <c r="P118" s="3">
        <v>1</v>
      </c>
      <c r="Q118" s="3">
        <v>1</v>
      </c>
      <c r="R118" s="31">
        <v>0.63500000000000001</v>
      </c>
      <c r="S118" s="3">
        <v>0</v>
      </c>
      <c r="T118" s="3">
        <v>0</v>
      </c>
      <c r="U118" s="3">
        <v>5.7693000000000001E-2</v>
      </c>
    </row>
    <row r="119" spans="1:21">
      <c r="A119" s="3">
        <v>116</v>
      </c>
      <c r="B119" s="18" t="s">
        <v>355</v>
      </c>
      <c r="C119" s="31" t="s">
        <v>356</v>
      </c>
      <c r="D119" s="145" t="s">
        <v>30</v>
      </c>
      <c r="E119" s="145"/>
      <c r="F119" s="145"/>
      <c r="G119" s="145"/>
      <c r="H119" s="146" t="s">
        <v>89</v>
      </c>
      <c r="I119" s="146" t="s">
        <v>273</v>
      </c>
      <c r="J119" s="31">
        <v>18</v>
      </c>
      <c r="K119" s="31">
        <v>121</v>
      </c>
      <c r="L119" s="3" t="s">
        <v>90</v>
      </c>
      <c r="M119" s="3" t="s">
        <v>90</v>
      </c>
      <c r="N119" s="3">
        <v>1</v>
      </c>
      <c r="O119" s="31" t="s">
        <v>107</v>
      </c>
      <c r="P119" s="3">
        <v>1</v>
      </c>
      <c r="Q119" s="3">
        <v>1</v>
      </c>
      <c r="R119" s="31">
        <v>0.63500000000000001</v>
      </c>
      <c r="S119" s="3">
        <v>0</v>
      </c>
      <c r="T119" s="3">
        <v>0</v>
      </c>
      <c r="U119" s="3">
        <v>0.37196800000000002</v>
      </c>
    </row>
    <row r="120" spans="1:21">
      <c r="A120" s="3">
        <v>117</v>
      </c>
      <c r="B120" s="18" t="s">
        <v>357</v>
      </c>
      <c r="C120" s="31" t="s">
        <v>358</v>
      </c>
      <c r="D120" s="145" t="s">
        <v>36</v>
      </c>
      <c r="E120" s="145"/>
      <c r="F120" s="145"/>
      <c r="G120" s="145"/>
      <c r="H120" s="146" t="s">
        <v>89</v>
      </c>
      <c r="I120" s="146" t="s">
        <v>273</v>
      </c>
      <c r="J120" s="31">
        <v>19</v>
      </c>
      <c r="K120" s="31">
        <v>121</v>
      </c>
      <c r="L120" s="3" t="s">
        <v>90</v>
      </c>
      <c r="M120" s="3" t="s">
        <v>90</v>
      </c>
      <c r="N120" s="3">
        <v>1</v>
      </c>
      <c r="O120" s="31" t="s">
        <v>107</v>
      </c>
      <c r="P120" s="3">
        <v>1</v>
      </c>
      <c r="Q120" s="3">
        <v>1</v>
      </c>
      <c r="R120" s="31">
        <v>0.63500000000000001</v>
      </c>
      <c r="S120" s="3">
        <v>0</v>
      </c>
      <c r="T120" s="3">
        <v>0</v>
      </c>
      <c r="U120" s="3">
        <v>0.34712599999999999</v>
      </c>
    </row>
    <row r="121" spans="1:21">
      <c r="A121" s="3">
        <v>118</v>
      </c>
      <c r="B121" s="18" t="s">
        <v>359</v>
      </c>
      <c r="C121" s="31" t="s">
        <v>360</v>
      </c>
      <c r="D121" s="145" t="s">
        <v>40</v>
      </c>
      <c r="E121" s="145"/>
      <c r="F121" s="145"/>
      <c r="G121" s="145"/>
      <c r="H121" s="146" t="s">
        <v>89</v>
      </c>
      <c r="I121" s="146" t="s">
        <v>273</v>
      </c>
      <c r="J121" s="31">
        <v>20</v>
      </c>
      <c r="K121" s="31">
        <v>121</v>
      </c>
      <c r="L121" s="3" t="s">
        <v>90</v>
      </c>
      <c r="M121" s="3" t="s">
        <v>90</v>
      </c>
      <c r="N121" s="3">
        <v>1</v>
      </c>
      <c r="O121" s="31" t="s">
        <v>107</v>
      </c>
      <c r="P121" s="3">
        <v>1</v>
      </c>
      <c r="Q121" s="3">
        <v>1</v>
      </c>
      <c r="R121" s="31">
        <v>0.63500000000000001</v>
      </c>
      <c r="S121" s="3">
        <v>0</v>
      </c>
      <c r="T121" s="3">
        <v>0</v>
      </c>
      <c r="U121" s="3">
        <v>0.138351</v>
      </c>
    </row>
    <row r="122" spans="1:21">
      <c r="A122" s="3">
        <v>119</v>
      </c>
      <c r="B122" s="18" t="s">
        <v>361</v>
      </c>
      <c r="C122" s="31" t="s">
        <v>362</v>
      </c>
      <c r="D122" s="145" t="s">
        <v>130</v>
      </c>
      <c r="E122" s="145"/>
      <c r="F122" s="145"/>
      <c r="G122" s="145"/>
      <c r="H122" s="146" t="s">
        <v>89</v>
      </c>
      <c r="I122" s="146" t="s">
        <v>337</v>
      </c>
      <c r="J122" s="31">
        <v>6</v>
      </c>
      <c r="K122" s="31">
        <v>124</v>
      </c>
      <c r="L122" s="3" t="s">
        <v>90</v>
      </c>
      <c r="M122" s="3" t="s">
        <v>90</v>
      </c>
      <c r="N122" s="3">
        <v>1</v>
      </c>
      <c r="O122" s="31" t="s">
        <v>107</v>
      </c>
      <c r="P122" s="3">
        <v>1</v>
      </c>
      <c r="Q122" s="3">
        <v>1</v>
      </c>
      <c r="R122" s="31">
        <f>IF($I$1=2020,0,IF($I$1=2025,'Re-Electrification'!C145,IF($I$1=2030,'Re-Electrification'!D145,IF($I$1=2035,'Re-Electrification'!E145,IF($I$1=2040,'Re-Electrification'!F145,IF($I$1=2045,'Re-Electrification'!G145,'Re-Electrification'!H145))))))</f>
        <v>0.85</v>
      </c>
      <c r="S122" s="3">
        <v>0</v>
      </c>
      <c r="T122" s="3">
        <v>0</v>
      </c>
      <c r="U122" s="3">
        <f>IF($I$1=2020,0,IF($I$1=2025,'Re-Electrification'!C146,IF($I$1=2030,'Re-Electrification'!D146,IF($I$1=2035,'Re-Electrification'!E146,IF($I$1=2040,'Re-Electrification'!F146,IF($I$1=2045,'Re-Electrification'!G146,'Re-Electrification'!H146))))))</f>
        <v>5.0799999999999999E-4</v>
      </c>
    </row>
    <row r="123" spans="1:21">
      <c r="A123" s="3">
        <v>120</v>
      </c>
      <c r="B123" s="18" t="s">
        <v>363</v>
      </c>
      <c r="C123" s="31" t="s">
        <v>364</v>
      </c>
      <c r="D123" s="145" t="s">
        <v>365</v>
      </c>
      <c r="E123" s="145"/>
      <c r="F123" s="145"/>
      <c r="G123" s="145"/>
      <c r="H123" s="146" t="s">
        <v>337</v>
      </c>
      <c r="I123" s="146"/>
      <c r="J123" s="31">
        <v>38</v>
      </c>
      <c r="K123" s="31">
        <v>24</v>
      </c>
      <c r="L123" s="3" t="s">
        <v>366</v>
      </c>
      <c r="M123" s="3" t="s">
        <v>366</v>
      </c>
      <c r="N123" s="3">
        <v>1</v>
      </c>
      <c r="O123" s="31" t="s">
        <v>107</v>
      </c>
      <c r="P123" s="3">
        <v>1</v>
      </c>
      <c r="Q123" s="3">
        <v>0</v>
      </c>
      <c r="R123" s="31">
        <v>1</v>
      </c>
      <c r="S123" s="3">
        <v>0</v>
      </c>
      <c r="T123" s="3">
        <v>0</v>
      </c>
      <c r="U123" s="3">
        <v>0</v>
      </c>
    </row>
    <row r="124" spans="1:21">
      <c r="A124" s="3">
        <v>121</v>
      </c>
      <c r="B124" s="18" t="s">
        <v>367</v>
      </c>
      <c r="C124" s="31" t="s">
        <v>368</v>
      </c>
      <c r="D124" s="145" t="s">
        <v>89</v>
      </c>
      <c r="E124" s="145"/>
      <c r="F124" s="145"/>
      <c r="G124" s="145"/>
      <c r="H124" s="146" t="s">
        <v>337</v>
      </c>
      <c r="I124" s="146"/>
      <c r="J124" s="31">
        <v>1</v>
      </c>
      <c r="K124" s="31">
        <v>24</v>
      </c>
      <c r="L124" s="3" t="s">
        <v>366</v>
      </c>
      <c r="M124" s="3" t="s">
        <v>366</v>
      </c>
      <c r="N124" s="3">
        <v>1</v>
      </c>
      <c r="O124" s="31" t="s">
        <v>107</v>
      </c>
      <c r="P124" s="3">
        <v>1</v>
      </c>
      <c r="Q124" s="3">
        <v>1</v>
      </c>
      <c r="R124" s="31">
        <v>1</v>
      </c>
      <c r="S124" s="3">
        <v>0</v>
      </c>
      <c r="T124" s="3">
        <v>0</v>
      </c>
      <c r="U124" s="3">
        <v>0</v>
      </c>
    </row>
    <row r="125" spans="1:21">
      <c r="A125" s="3">
        <v>122</v>
      </c>
      <c r="B125" s="18" t="s">
        <v>369</v>
      </c>
      <c r="C125" s="31" t="s">
        <v>370</v>
      </c>
      <c r="D125" s="145" t="s">
        <v>89</v>
      </c>
      <c r="E125" s="145"/>
      <c r="F125" s="145"/>
      <c r="G125" s="145"/>
      <c r="H125" s="146" t="s">
        <v>337</v>
      </c>
      <c r="I125" s="146"/>
      <c r="J125" s="31">
        <v>1</v>
      </c>
      <c r="K125" s="31">
        <v>24</v>
      </c>
      <c r="L125" s="3" t="s">
        <v>366</v>
      </c>
      <c r="M125" s="3" t="s">
        <v>366</v>
      </c>
      <c r="N125" s="3">
        <v>1</v>
      </c>
      <c r="O125" s="31" t="s">
        <v>107</v>
      </c>
      <c r="P125" s="3">
        <v>1</v>
      </c>
      <c r="Q125" s="3">
        <f>IF(I1=2020,0,IF(I1=2025,'ACS Heat&amp;Storage'!C18/100,IF(I1=2030,'ACS Heat&amp;Storage'!D18/100,IF(I1=2035,'ACS Heat&amp;Storage'!E18/100,IF(I1=2040,'ACS Heat&amp;Storage'!F18/100,IF(I1=2045,'ACS Heat&amp;Storage'!G18/100,'ACS Heat&amp;Storage'!H18/100))))))</f>
        <v>7.5</v>
      </c>
      <c r="R125" s="3">
        <v>1</v>
      </c>
      <c r="S125" s="3">
        <v>0</v>
      </c>
      <c r="T125" s="3">
        <v>0</v>
      </c>
      <c r="U125" s="3">
        <v>0</v>
      </c>
    </row>
    <row r="126" spans="1:21">
      <c r="A126" s="3">
        <v>123</v>
      </c>
      <c r="B126" s="18" t="s">
        <v>371</v>
      </c>
      <c r="C126" s="31" t="s">
        <v>372</v>
      </c>
      <c r="D126" s="145" t="s">
        <v>40</v>
      </c>
      <c r="E126" s="145"/>
      <c r="F126" s="145"/>
      <c r="G126" s="145"/>
      <c r="H126" s="146" t="s">
        <v>337</v>
      </c>
      <c r="I126" s="146"/>
      <c r="J126" s="31">
        <v>20</v>
      </c>
      <c r="K126" s="31">
        <v>24</v>
      </c>
      <c r="L126" s="3" t="s">
        <v>366</v>
      </c>
      <c r="M126" s="3" t="s">
        <v>366</v>
      </c>
      <c r="N126" s="3">
        <v>1</v>
      </c>
      <c r="O126" s="31" t="s">
        <v>107</v>
      </c>
      <c r="P126" s="3">
        <v>1</v>
      </c>
      <c r="Q126" s="3">
        <v>0</v>
      </c>
      <c r="R126" s="3">
        <v>1</v>
      </c>
      <c r="S126" s="3">
        <v>0</v>
      </c>
      <c r="T126" s="3">
        <v>0</v>
      </c>
      <c r="U126" s="3">
        <v>7.5730000000000006E-2</v>
      </c>
    </row>
    <row r="127" spans="1:21">
      <c r="A127" s="3">
        <v>124</v>
      </c>
      <c r="B127" s="18" t="s">
        <v>373</v>
      </c>
      <c r="C127" s="31" t="s">
        <v>374</v>
      </c>
      <c r="D127" s="145" t="s">
        <v>89</v>
      </c>
      <c r="E127" s="145"/>
      <c r="F127" s="145"/>
      <c r="G127" s="145"/>
      <c r="H127" s="146" t="s">
        <v>342</v>
      </c>
      <c r="I127" s="146"/>
      <c r="J127" s="31">
        <v>1</v>
      </c>
      <c r="K127" s="31">
        <v>23</v>
      </c>
      <c r="L127" s="3" t="s">
        <v>366</v>
      </c>
      <c r="M127" s="3" t="s">
        <v>366</v>
      </c>
      <c r="N127" s="3">
        <v>1</v>
      </c>
      <c r="O127" s="31" t="s">
        <v>107</v>
      </c>
      <c r="P127" s="3">
        <v>1</v>
      </c>
      <c r="Q127" s="3">
        <v>1</v>
      </c>
      <c r="R127" s="3">
        <v>1</v>
      </c>
      <c r="S127" s="3">
        <v>0</v>
      </c>
      <c r="T127" s="3">
        <v>0</v>
      </c>
      <c r="U127" s="3">
        <v>0</v>
      </c>
    </row>
    <row r="128" spans="1:21">
      <c r="A128" s="3">
        <v>125</v>
      </c>
      <c r="B128" s="18" t="s">
        <v>375</v>
      </c>
      <c r="C128" s="31" t="s">
        <v>376</v>
      </c>
      <c r="D128" s="145" t="s">
        <v>89</v>
      </c>
      <c r="E128" s="145"/>
      <c r="F128" s="145"/>
      <c r="G128" s="145"/>
      <c r="H128" s="146" t="s">
        <v>342</v>
      </c>
      <c r="I128" s="146"/>
      <c r="J128" s="31">
        <v>1</v>
      </c>
      <c r="K128" s="31">
        <v>23</v>
      </c>
      <c r="L128" s="3" t="s">
        <v>366</v>
      </c>
      <c r="M128" s="3" t="s">
        <v>366</v>
      </c>
      <c r="N128" s="3">
        <v>1</v>
      </c>
      <c r="O128" s="31" t="s">
        <v>107</v>
      </c>
      <c r="P128" s="3">
        <v>1</v>
      </c>
      <c r="Q128" s="3">
        <f>IF(I1=2020,0,IF(I1=2025,'LT Heat&amp;Storage'!C12/100,IF(I1=2030,'LT Heat&amp;Storage'!D12/100,IF(I1=2035,'LT Heat&amp;Storage'!E12/100,IF(I1=2040,'LT Heat&amp;Storage'!F12/100,IF(I1=2045,'LT Heat&amp;Storage'!G12/100,'LT Heat&amp;Storage'!H12/100))))))</f>
        <v>3.7</v>
      </c>
      <c r="R128" s="3">
        <v>1</v>
      </c>
      <c r="S128" s="3">
        <v>0</v>
      </c>
      <c r="T128" s="3">
        <v>0</v>
      </c>
      <c r="U128" s="3">
        <v>0</v>
      </c>
    </row>
    <row r="129" spans="1:21">
      <c r="A129" s="3">
        <v>126</v>
      </c>
      <c r="B129" s="18" t="s">
        <v>377</v>
      </c>
      <c r="C129" s="31" t="s">
        <v>378</v>
      </c>
      <c r="D129" s="145" t="s">
        <v>40</v>
      </c>
      <c r="E129" s="145"/>
      <c r="F129" s="145"/>
      <c r="G129" s="145"/>
      <c r="H129" s="146" t="s">
        <v>342</v>
      </c>
      <c r="I129" s="146"/>
      <c r="J129" s="31">
        <v>20</v>
      </c>
      <c r="K129" s="31">
        <v>23</v>
      </c>
      <c r="L129" s="3" t="s">
        <v>366</v>
      </c>
      <c r="M129" s="3" t="s">
        <v>366</v>
      </c>
      <c r="N129" s="3">
        <v>1</v>
      </c>
      <c r="O129" s="31" t="s">
        <v>107</v>
      </c>
      <c r="P129" s="3">
        <v>1</v>
      </c>
      <c r="Q129" s="3">
        <v>0</v>
      </c>
      <c r="R129" s="3">
        <v>1</v>
      </c>
      <c r="S129" s="3">
        <v>0</v>
      </c>
      <c r="T129" s="3">
        <v>0</v>
      </c>
      <c r="U129" s="3">
        <v>0.74167000000000005</v>
      </c>
    </row>
    <row r="130" spans="1:21">
      <c r="A130" s="3">
        <v>127</v>
      </c>
      <c r="B130" s="18" t="s">
        <v>379</v>
      </c>
      <c r="C130" s="31" t="s">
        <v>380</v>
      </c>
      <c r="D130" s="145" t="s">
        <v>40</v>
      </c>
      <c r="E130" s="145"/>
      <c r="F130" s="145"/>
      <c r="G130" s="145"/>
      <c r="H130" s="146" t="s">
        <v>268</v>
      </c>
      <c r="I130" s="146"/>
      <c r="J130" s="31">
        <v>20</v>
      </c>
      <c r="K130" s="31">
        <v>22</v>
      </c>
      <c r="L130" s="3" t="s">
        <v>366</v>
      </c>
      <c r="M130" s="3" t="s">
        <v>366</v>
      </c>
      <c r="N130" s="3">
        <v>1</v>
      </c>
      <c r="O130" s="31" t="s">
        <v>107</v>
      </c>
      <c r="P130" s="3">
        <v>1</v>
      </c>
      <c r="Q130" s="3">
        <v>0</v>
      </c>
      <c r="R130" s="3">
        <v>1</v>
      </c>
      <c r="S130" s="3">
        <v>0</v>
      </c>
      <c r="T130" s="3">
        <v>0</v>
      </c>
      <c r="U130" s="3">
        <v>7.5729000000000005E-2</v>
      </c>
    </row>
    <row r="131" spans="1:21">
      <c r="A131" s="3">
        <v>128</v>
      </c>
      <c r="B131" s="18" t="s">
        <v>381</v>
      </c>
      <c r="C131" s="31" t="s">
        <v>382</v>
      </c>
      <c r="D131" s="145" t="s">
        <v>130</v>
      </c>
      <c r="E131" s="145"/>
      <c r="F131" s="145"/>
      <c r="G131" s="145"/>
      <c r="H131" s="146" t="s">
        <v>268</v>
      </c>
      <c r="I131" s="146"/>
      <c r="J131" s="31">
        <v>6</v>
      </c>
      <c r="K131" s="31">
        <v>22</v>
      </c>
      <c r="L131" s="3" t="s">
        <v>366</v>
      </c>
      <c r="M131" s="3" t="s">
        <v>366</v>
      </c>
      <c r="N131" s="3">
        <v>1</v>
      </c>
      <c r="O131" s="31" t="s">
        <v>107</v>
      </c>
      <c r="P131" s="3">
        <v>1</v>
      </c>
      <c r="Q131" s="3">
        <v>0</v>
      </c>
      <c r="R131" s="3">
        <v>1</v>
      </c>
      <c r="S131" s="3">
        <v>0</v>
      </c>
      <c r="T131" s="3">
        <v>0</v>
      </c>
      <c r="U131" s="3">
        <v>3.1579999999999997E-2</v>
      </c>
    </row>
    <row r="132" spans="1:21">
      <c r="A132" s="3">
        <v>129</v>
      </c>
      <c r="B132" s="18" t="s">
        <v>383</v>
      </c>
      <c r="C132" s="31" t="s">
        <v>384</v>
      </c>
      <c r="D132" s="145" t="s">
        <v>89</v>
      </c>
      <c r="E132" s="145"/>
      <c r="F132" s="145"/>
      <c r="G132" s="145"/>
      <c r="H132" s="146" t="s">
        <v>268</v>
      </c>
      <c r="I132" s="146"/>
      <c r="J132" s="31">
        <v>1</v>
      </c>
      <c r="K132" s="31">
        <v>22</v>
      </c>
      <c r="L132" s="3" t="s">
        <v>366</v>
      </c>
      <c r="M132" s="3" t="s">
        <v>366</v>
      </c>
      <c r="N132" s="3">
        <v>1</v>
      </c>
      <c r="O132" s="31" t="s">
        <v>107</v>
      </c>
      <c r="P132" s="3">
        <v>1</v>
      </c>
      <c r="Q132" s="3">
        <v>1</v>
      </c>
      <c r="R132" s="3">
        <v>1</v>
      </c>
      <c r="S132" s="3">
        <v>0</v>
      </c>
      <c r="T132" s="3">
        <v>0</v>
      </c>
      <c r="U132" s="3">
        <v>0</v>
      </c>
    </row>
    <row r="133" spans="1:21">
      <c r="A133" s="3">
        <v>130</v>
      </c>
      <c r="B133" s="18" t="s">
        <v>385</v>
      </c>
      <c r="C133" s="31" t="s">
        <v>386</v>
      </c>
      <c r="D133" s="145" t="s">
        <v>40</v>
      </c>
      <c r="E133" s="145"/>
      <c r="F133" s="145"/>
      <c r="G133" s="145"/>
      <c r="H133" s="146" t="s">
        <v>273</v>
      </c>
      <c r="I133" s="146"/>
      <c r="J133" s="31">
        <v>20</v>
      </c>
      <c r="K133" s="31">
        <v>21</v>
      </c>
      <c r="L133" s="3" t="s">
        <v>366</v>
      </c>
      <c r="M133" s="3" t="s">
        <v>366</v>
      </c>
      <c r="N133" s="3">
        <v>1</v>
      </c>
      <c r="O133" s="31" t="s">
        <v>107</v>
      </c>
      <c r="P133" s="3">
        <v>1</v>
      </c>
      <c r="Q133" s="3">
        <v>0</v>
      </c>
      <c r="R133" s="3">
        <v>1</v>
      </c>
      <c r="S133" s="3">
        <v>0</v>
      </c>
      <c r="T133" s="3">
        <v>0</v>
      </c>
      <c r="U133" s="3">
        <v>7.5729000000000005E-2</v>
      </c>
    </row>
    <row r="134" spans="1:21">
      <c r="A134" s="3">
        <v>131</v>
      </c>
      <c r="B134" s="18" t="s">
        <v>387</v>
      </c>
      <c r="C134" s="31" t="s">
        <v>388</v>
      </c>
      <c r="D134" s="145" t="s">
        <v>40</v>
      </c>
      <c r="E134" s="145"/>
      <c r="F134" s="145"/>
      <c r="G134" s="145"/>
      <c r="H134" s="146" t="s">
        <v>389</v>
      </c>
      <c r="I134" s="146"/>
      <c r="J134" s="31">
        <v>20</v>
      </c>
      <c r="K134" s="31">
        <v>35</v>
      </c>
      <c r="L134" s="3" t="s">
        <v>366</v>
      </c>
      <c r="M134" s="3" t="s">
        <v>366</v>
      </c>
      <c r="N134" s="3">
        <v>1</v>
      </c>
      <c r="O134" s="31" t="s">
        <v>107</v>
      </c>
      <c r="P134" s="3">
        <v>1</v>
      </c>
      <c r="Q134" s="3">
        <v>0</v>
      </c>
      <c r="R134" s="3">
        <v>1</v>
      </c>
      <c r="S134" s="3">
        <v>0</v>
      </c>
      <c r="T134" s="3">
        <v>0</v>
      </c>
      <c r="U134" s="3">
        <v>7.5729000000000005E-2</v>
      </c>
    </row>
    <row r="135" spans="1:21">
      <c r="A135" s="3">
        <v>132</v>
      </c>
      <c r="B135" s="18" t="s">
        <v>390</v>
      </c>
      <c r="C135" s="31" t="s">
        <v>391</v>
      </c>
      <c r="D135" s="145" t="s">
        <v>40</v>
      </c>
      <c r="E135" s="145"/>
      <c r="F135" s="145"/>
      <c r="G135" s="145"/>
      <c r="H135" s="146" t="s">
        <v>392</v>
      </c>
      <c r="I135" s="146"/>
      <c r="J135" s="31">
        <v>20</v>
      </c>
      <c r="K135" s="31">
        <v>36</v>
      </c>
      <c r="L135" s="3" t="s">
        <v>366</v>
      </c>
      <c r="M135" s="3" t="s">
        <v>366</v>
      </c>
      <c r="N135" s="3">
        <v>1</v>
      </c>
      <c r="O135" s="31" t="s">
        <v>107</v>
      </c>
      <c r="P135" s="3">
        <v>1</v>
      </c>
      <c r="Q135" s="3">
        <v>0</v>
      </c>
      <c r="R135" s="3">
        <v>1</v>
      </c>
      <c r="S135" s="3">
        <v>0</v>
      </c>
      <c r="T135" s="3">
        <v>0</v>
      </c>
      <c r="U135" s="3">
        <v>7.5729000000000005E-2</v>
      </c>
    </row>
    <row r="136" spans="1:21">
      <c r="A136" s="3">
        <v>133</v>
      </c>
      <c r="B136" s="18" t="s">
        <v>393</v>
      </c>
      <c r="C136" s="31" t="s">
        <v>394</v>
      </c>
      <c r="D136" s="145" t="s">
        <v>130</v>
      </c>
      <c r="E136" s="145"/>
      <c r="F136" s="145"/>
      <c r="G136" s="145"/>
      <c r="H136" s="146" t="s">
        <v>273</v>
      </c>
      <c r="I136" s="146"/>
      <c r="J136" s="31">
        <v>6</v>
      </c>
      <c r="K136" s="31">
        <v>21</v>
      </c>
      <c r="L136" s="3" t="s">
        <v>366</v>
      </c>
      <c r="M136" s="3" t="s">
        <v>366</v>
      </c>
      <c r="N136" s="3">
        <v>1</v>
      </c>
      <c r="O136" s="31" t="s">
        <v>107</v>
      </c>
      <c r="P136" s="3">
        <v>1</v>
      </c>
      <c r="Q136" s="3">
        <v>0</v>
      </c>
      <c r="R136" s="3">
        <v>1</v>
      </c>
      <c r="S136" s="3">
        <v>0</v>
      </c>
      <c r="T136" s="3">
        <v>0</v>
      </c>
      <c r="U136" s="3">
        <v>3.1579999999999997E-2</v>
      </c>
    </row>
    <row r="137" spans="1:21">
      <c r="A137" s="3">
        <v>134</v>
      </c>
      <c r="B137" s="18" t="s">
        <v>395</v>
      </c>
      <c r="C137" s="31" t="s">
        <v>396</v>
      </c>
      <c r="D137" s="145" t="s">
        <v>130</v>
      </c>
      <c r="E137" s="145"/>
      <c r="F137" s="145"/>
      <c r="G137" s="145"/>
      <c r="H137" s="146" t="s">
        <v>389</v>
      </c>
      <c r="I137" s="146"/>
      <c r="J137" s="31">
        <v>6</v>
      </c>
      <c r="K137" s="31">
        <v>35</v>
      </c>
      <c r="L137" s="3" t="s">
        <v>366</v>
      </c>
      <c r="M137" s="3" t="s">
        <v>366</v>
      </c>
      <c r="N137" s="3">
        <v>1</v>
      </c>
      <c r="O137" s="31" t="s">
        <v>107</v>
      </c>
      <c r="P137" s="3">
        <v>1</v>
      </c>
      <c r="Q137" s="3">
        <v>0</v>
      </c>
      <c r="R137" s="3">
        <v>1</v>
      </c>
      <c r="S137" s="3">
        <v>0</v>
      </c>
      <c r="T137" s="3">
        <v>0</v>
      </c>
      <c r="U137" s="3">
        <v>3.1579999999999997E-2</v>
      </c>
    </row>
    <row r="138" spans="1:21">
      <c r="A138" s="3">
        <v>135</v>
      </c>
      <c r="B138" s="18" t="s">
        <v>397</v>
      </c>
      <c r="C138" s="31" t="s">
        <v>398</v>
      </c>
      <c r="D138" s="145" t="s">
        <v>130</v>
      </c>
      <c r="E138" s="145"/>
      <c r="F138" s="145"/>
      <c r="G138" s="145"/>
      <c r="H138" s="146" t="s">
        <v>392</v>
      </c>
      <c r="I138" s="146"/>
      <c r="J138" s="31">
        <v>6</v>
      </c>
      <c r="K138" s="31">
        <v>36</v>
      </c>
      <c r="L138" s="3" t="s">
        <v>366</v>
      </c>
      <c r="M138" s="3" t="s">
        <v>366</v>
      </c>
      <c r="N138" s="3">
        <v>1</v>
      </c>
      <c r="O138" s="31" t="s">
        <v>107</v>
      </c>
      <c r="P138" s="3">
        <v>1</v>
      </c>
      <c r="Q138" s="3">
        <v>0</v>
      </c>
      <c r="R138" s="3">
        <v>1</v>
      </c>
      <c r="S138" s="3">
        <v>0</v>
      </c>
      <c r="T138" s="3">
        <v>0</v>
      </c>
      <c r="U138" s="3">
        <v>3.1579999999999997E-2</v>
      </c>
    </row>
    <row r="139" spans="1:21">
      <c r="A139" s="3">
        <v>136</v>
      </c>
      <c r="B139" s="18" t="s">
        <v>399</v>
      </c>
      <c r="C139" s="31" t="s">
        <v>400</v>
      </c>
      <c r="D139" s="145" t="s">
        <v>89</v>
      </c>
      <c r="E139" s="145"/>
      <c r="F139" s="145"/>
      <c r="G139" s="145"/>
      <c r="H139" s="146" t="s">
        <v>273</v>
      </c>
      <c r="I139" s="146"/>
      <c r="J139" s="31">
        <v>1</v>
      </c>
      <c r="K139" s="31">
        <v>21</v>
      </c>
      <c r="L139" s="3" t="s">
        <v>366</v>
      </c>
      <c r="M139" s="3" t="s">
        <v>366</v>
      </c>
      <c r="N139" s="3">
        <v>1</v>
      </c>
      <c r="O139" s="31" t="s">
        <v>107</v>
      </c>
      <c r="P139" s="3">
        <v>1</v>
      </c>
      <c r="Q139" s="3">
        <v>1</v>
      </c>
      <c r="R139" s="3">
        <v>1</v>
      </c>
      <c r="S139" s="3">
        <v>0</v>
      </c>
      <c r="T139" s="3">
        <v>0</v>
      </c>
      <c r="U139" s="3">
        <v>0</v>
      </c>
    </row>
    <row r="140" spans="1:21">
      <c r="A140" s="3">
        <v>137</v>
      </c>
      <c r="B140" s="18" t="s">
        <v>401</v>
      </c>
      <c r="C140" s="31" t="s">
        <v>402</v>
      </c>
      <c r="D140" s="145" t="s">
        <v>89</v>
      </c>
      <c r="E140" s="145"/>
      <c r="F140" s="145"/>
      <c r="G140" s="145"/>
      <c r="H140" s="146" t="s">
        <v>389</v>
      </c>
      <c r="I140" s="146"/>
      <c r="J140" s="31">
        <v>1</v>
      </c>
      <c r="K140" s="31">
        <v>35</v>
      </c>
      <c r="L140" s="3" t="s">
        <v>366</v>
      </c>
      <c r="M140" s="3" t="s">
        <v>366</v>
      </c>
      <c r="N140" s="3">
        <v>1</v>
      </c>
      <c r="O140" s="31" t="s">
        <v>107</v>
      </c>
      <c r="P140" s="3">
        <v>1</v>
      </c>
      <c r="Q140" s="3">
        <v>1</v>
      </c>
      <c r="R140" s="3">
        <v>1</v>
      </c>
      <c r="S140" s="3">
        <v>0</v>
      </c>
      <c r="T140" s="3">
        <v>0</v>
      </c>
      <c r="U140" s="3">
        <v>0</v>
      </c>
    </row>
    <row r="141" spans="1:21">
      <c r="A141" s="3">
        <v>138</v>
      </c>
      <c r="B141" s="18" t="s">
        <v>403</v>
      </c>
      <c r="C141" s="31" t="s">
        <v>404</v>
      </c>
      <c r="D141" s="145" t="s">
        <v>89</v>
      </c>
      <c r="E141" s="145"/>
      <c r="F141" s="145"/>
      <c r="G141" s="145"/>
      <c r="H141" s="146" t="s">
        <v>392</v>
      </c>
      <c r="I141" s="146"/>
      <c r="J141" s="31">
        <v>1</v>
      </c>
      <c r="K141" s="31">
        <v>36</v>
      </c>
      <c r="L141" s="3" t="s">
        <v>366</v>
      </c>
      <c r="M141" s="3" t="s">
        <v>366</v>
      </c>
      <c r="N141" s="3">
        <v>1</v>
      </c>
      <c r="O141" s="31" t="s">
        <v>107</v>
      </c>
      <c r="P141" s="3">
        <v>1</v>
      </c>
      <c r="Q141" s="3">
        <v>1</v>
      </c>
      <c r="R141" s="3">
        <v>1</v>
      </c>
      <c r="S141" s="3">
        <v>0</v>
      </c>
      <c r="T141" s="3">
        <v>0</v>
      </c>
      <c r="U141" s="3">
        <v>0</v>
      </c>
    </row>
    <row r="142" spans="1:21">
      <c r="A142" s="3">
        <v>139</v>
      </c>
      <c r="B142" s="18" t="s">
        <v>405</v>
      </c>
      <c r="C142" s="31" t="s">
        <v>406</v>
      </c>
      <c r="D142" s="145" t="s">
        <v>273</v>
      </c>
      <c r="E142" s="145"/>
      <c r="F142" s="145"/>
      <c r="G142" s="145"/>
      <c r="H142" s="146" t="s">
        <v>268</v>
      </c>
      <c r="I142" s="146"/>
      <c r="J142" s="31">
        <v>21</v>
      </c>
      <c r="K142" s="31">
        <v>22</v>
      </c>
      <c r="L142" s="3" t="s">
        <v>366</v>
      </c>
      <c r="M142" s="3" t="s">
        <v>366</v>
      </c>
      <c r="N142" s="3">
        <v>1</v>
      </c>
      <c r="O142" s="31" t="s">
        <v>107</v>
      </c>
      <c r="P142" s="3">
        <v>0.9</v>
      </c>
      <c r="Q142" s="3">
        <v>0</v>
      </c>
      <c r="R142" s="3">
        <v>1</v>
      </c>
      <c r="S142" s="3">
        <v>0</v>
      </c>
      <c r="T142" s="3">
        <v>0</v>
      </c>
      <c r="U142" s="3">
        <v>0</v>
      </c>
    </row>
    <row r="143" spans="1:21">
      <c r="A143" s="3">
        <v>140</v>
      </c>
      <c r="B143" s="18" t="s">
        <v>407</v>
      </c>
      <c r="C143" s="31" t="s">
        <v>408</v>
      </c>
      <c r="D143" s="145" t="s">
        <v>389</v>
      </c>
      <c r="E143" s="145"/>
      <c r="F143" s="145"/>
      <c r="G143" s="145"/>
      <c r="H143" s="146" t="s">
        <v>268</v>
      </c>
      <c r="I143" s="146"/>
      <c r="J143" s="31">
        <v>35</v>
      </c>
      <c r="K143" s="31">
        <v>22</v>
      </c>
      <c r="L143" s="3" t="s">
        <v>366</v>
      </c>
      <c r="M143" s="3" t="s">
        <v>366</v>
      </c>
      <c r="N143" s="3">
        <v>1</v>
      </c>
      <c r="O143" s="31" t="s">
        <v>107</v>
      </c>
      <c r="P143" s="3">
        <v>0.9</v>
      </c>
      <c r="Q143" s="3">
        <v>0</v>
      </c>
      <c r="R143" s="3">
        <v>1</v>
      </c>
      <c r="S143" s="3">
        <v>0</v>
      </c>
      <c r="T143" s="3">
        <v>0</v>
      </c>
      <c r="U143" s="3">
        <v>0</v>
      </c>
    </row>
    <row r="144" spans="1:21">
      <c r="A144" s="3">
        <v>141</v>
      </c>
      <c r="B144" s="18" t="s">
        <v>409</v>
      </c>
      <c r="C144" s="31" t="s">
        <v>410</v>
      </c>
      <c r="D144" s="145" t="s">
        <v>392</v>
      </c>
      <c r="E144" s="145"/>
      <c r="F144" s="145"/>
      <c r="G144" s="145"/>
      <c r="H144" s="146" t="s">
        <v>268</v>
      </c>
      <c r="I144" s="146"/>
      <c r="J144" s="31">
        <v>36</v>
      </c>
      <c r="K144" s="31">
        <v>22</v>
      </c>
      <c r="L144" s="3" t="s">
        <v>366</v>
      </c>
      <c r="M144" s="3" t="s">
        <v>366</v>
      </c>
      <c r="N144" s="3">
        <v>1</v>
      </c>
      <c r="O144" s="31" t="s">
        <v>107</v>
      </c>
      <c r="P144" s="3">
        <v>0.9</v>
      </c>
      <c r="Q144" s="3">
        <v>0</v>
      </c>
      <c r="R144" s="3">
        <v>1</v>
      </c>
      <c r="S144" s="3">
        <v>0</v>
      </c>
      <c r="T144" s="3">
        <v>0</v>
      </c>
      <c r="U144" s="3">
        <v>0</v>
      </c>
    </row>
    <row r="145" spans="1:21">
      <c r="A145" s="3">
        <v>142</v>
      </c>
      <c r="B145" s="18" t="s">
        <v>411</v>
      </c>
      <c r="C145" s="31" t="s">
        <v>412</v>
      </c>
      <c r="D145" s="145" t="s">
        <v>389</v>
      </c>
      <c r="E145" s="145"/>
      <c r="F145" s="145"/>
      <c r="G145" s="145"/>
      <c r="H145" s="146" t="s">
        <v>342</v>
      </c>
      <c r="I145" s="146"/>
      <c r="J145" s="31">
        <v>35</v>
      </c>
      <c r="K145" s="31">
        <v>23</v>
      </c>
      <c r="L145" s="3" t="s">
        <v>366</v>
      </c>
      <c r="M145" s="3" t="s">
        <v>366</v>
      </c>
      <c r="N145" s="3">
        <v>1</v>
      </c>
      <c r="O145" s="31" t="s">
        <v>107</v>
      </c>
      <c r="P145" s="3">
        <v>0.9</v>
      </c>
      <c r="Q145" s="3">
        <v>0</v>
      </c>
      <c r="R145" s="3">
        <v>1</v>
      </c>
      <c r="S145" s="3">
        <v>0</v>
      </c>
      <c r="T145" s="3">
        <v>0</v>
      </c>
      <c r="U145" s="3">
        <v>0</v>
      </c>
    </row>
    <row r="146" spans="1:21">
      <c r="A146" s="3">
        <v>143</v>
      </c>
      <c r="B146" s="18" t="s">
        <v>413</v>
      </c>
      <c r="C146" s="31" t="s">
        <v>414</v>
      </c>
      <c r="D146" s="145" t="s">
        <v>392</v>
      </c>
      <c r="E146" s="145"/>
      <c r="F146" s="145"/>
      <c r="G146" s="145"/>
      <c r="H146" s="146" t="s">
        <v>342</v>
      </c>
      <c r="I146" s="146"/>
      <c r="J146" s="31">
        <v>36</v>
      </c>
      <c r="K146" s="31">
        <v>23</v>
      </c>
      <c r="L146" s="3" t="s">
        <v>366</v>
      </c>
      <c r="M146" s="3" t="s">
        <v>366</v>
      </c>
      <c r="N146" s="3">
        <v>1</v>
      </c>
      <c r="O146" s="31" t="s">
        <v>107</v>
      </c>
      <c r="P146" s="3">
        <v>0.9</v>
      </c>
      <c r="Q146" s="3">
        <v>0</v>
      </c>
      <c r="R146" s="3">
        <v>1</v>
      </c>
      <c r="S146" s="3">
        <v>0</v>
      </c>
      <c r="T146" s="3">
        <v>0</v>
      </c>
      <c r="U146" s="3">
        <v>0</v>
      </c>
    </row>
    <row r="147" spans="1:21">
      <c r="A147" s="3">
        <v>144</v>
      </c>
      <c r="B147" s="18" t="s">
        <v>415</v>
      </c>
      <c r="C147" s="31" t="s">
        <v>416</v>
      </c>
      <c r="D147" s="145" t="s">
        <v>342</v>
      </c>
      <c r="E147" s="145"/>
      <c r="F147" s="145"/>
      <c r="G147" s="145"/>
      <c r="H147" s="146" t="s">
        <v>337</v>
      </c>
      <c r="I147" s="146"/>
      <c r="J147" s="31">
        <v>23</v>
      </c>
      <c r="K147" s="31">
        <v>24</v>
      </c>
      <c r="L147" s="3" t="s">
        <v>366</v>
      </c>
      <c r="M147" s="3" t="s">
        <v>366</v>
      </c>
      <c r="N147" s="3">
        <v>1</v>
      </c>
      <c r="O147" s="31" t="s">
        <v>107</v>
      </c>
      <c r="P147" s="3">
        <v>0.9</v>
      </c>
      <c r="Q147" s="3">
        <v>0</v>
      </c>
      <c r="R147" s="3">
        <v>1</v>
      </c>
      <c r="S147" s="3">
        <v>0</v>
      </c>
      <c r="T147" s="3">
        <v>0</v>
      </c>
      <c r="U147" s="3">
        <v>0</v>
      </c>
    </row>
    <row r="148" spans="1:21">
      <c r="A148" s="3">
        <v>145</v>
      </c>
      <c r="B148" s="18" t="s">
        <v>417</v>
      </c>
      <c r="C148" s="31" t="s">
        <v>418</v>
      </c>
      <c r="D148" s="145" t="s">
        <v>89</v>
      </c>
      <c r="E148" s="145" t="s">
        <v>342</v>
      </c>
      <c r="F148" s="145"/>
      <c r="G148" s="145"/>
      <c r="H148" s="146" t="s">
        <v>104</v>
      </c>
      <c r="I148" s="146"/>
      <c r="J148" s="31">
        <v>123</v>
      </c>
      <c r="K148" s="31">
        <v>5</v>
      </c>
      <c r="L148" s="3" t="s">
        <v>419</v>
      </c>
      <c r="M148" s="3" t="s">
        <v>419</v>
      </c>
      <c r="N148" s="3">
        <v>1</v>
      </c>
      <c r="O148" s="31" t="s">
        <v>107</v>
      </c>
      <c r="P148" s="3">
        <v>1</v>
      </c>
      <c r="Q148" s="3">
        <f>IF($I$1=2020,0,IF($I$1=2025,'Desalination&amp;WaterStorage'!C5,IF($I$1=2030,'Desalination&amp;WaterStorage'!D5,IF($I$1=2035,'Desalination&amp;WaterStorage'!E5,IF($I$1=2040,'Desalination&amp;WaterStorage'!F5,IF($I$1=2045,'Desalination&amp;WaterStorage'!G5,'Desalination&amp;WaterStorage'!H5))))))</f>
        <v>2.6</v>
      </c>
      <c r="R148" s="3">
        <v>0</v>
      </c>
      <c r="S148" s="3">
        <v>1</v>
      </c>
      <c r="T148" s="3">
        <v>0</v>
      </c>
      <c r="U148" s="3">
        <v>0</v>
      </c>
    </row>
    <row r="149" spans="1:21">
      <c r="A149" s="3">
        <v>146</v>
      </c>
      <c r="B149" s="18" t="s">
        <v>420</v>
      </c>
      <c r="C149" s="31" t="s">
        <v>421</v>
      </c>
      <c r="D149" s="145" t="s">
        <v>89</v>
      </c>
      <c r="E149" s="145" t="s">
        <v>342</v>
      </c>
      <c r="F149" s="145"/>
      <c r="G149" s="145"/>
      <c r="H149" s="146" t="s">
        <v>104</v>
      </c>
      <c r="I149" s="146"/>
      <c r="J149" s="31">
        <v>123</v>
      </c>
      <c r="K149" s="31">
        <v>5</v>
      </c>
      <c r="L149" s="3" t="s">
        <v>419</v>
      </c>
      <c r="M149" s="3" t="s">
        <v>419</v>
      </c>
      <c r="N149" s="3">
        <v>1</v>
      </c>
      <c r="O149" s="31" t="s">
        <v>107</v>
      </c>
      <c r="P149" s="3">
        <v>1</v>
      </c>
      <c r="Q149" s="3">
        <f>IF($I$1=2020,0,IF($I$1=2025,'Desalination&amp;WaterStorage'!C14,IF($I$1=2030,'Desalination&amp;WaterStorage'!D14,IF($I$1=2035,'Desalination&amp;WaterStorage'!E14,IF($I$1=2040,'Desalination&amp;WaterStorage'!F14,IF($I$1=2045,'Desalination&amp;WaterStorage'!G14,'Desalination&amp;WaterStorage'!H14))))))</f>
        <v>2.5</v>
      </c>
      <c r="R149" s="3">
        <f>IF($I$1=2020,0,IF($I$1=2025,'Desalination&amp;WaterStorage'!C15,IF($I$1=2030,'Desalination&amp;WaterStorage'!D15,IF($I$1=2035,'Desalination&amp;WaterStorage'!E15,IF($I$1=2040,'Desalination&amp;WaterStorage'!F15,IF($I$1=2045,'Desalination&amp;WaterStorage'!G15,'Desalination&amp;WaterStorage'!H15))))))</f>
        <v>85</v>
      </c>
      <c r="S149" s="3">
        <v>1</v>
      </c>
      <c r="T149" s="3">
        <v>0</v>
      </c>
      <c r="U149" s="3">
        <v>0</v>
      </c>
    </row>
    <row r="150" spans="1:21">
      <c r="A150" s="3">
        <v>147</v>
      </c>
      <c r="B150" s="18" t="s">
        <v>422</v>
      </c>
      <c r="C150" s="31" t="s">
        <v>423</v>
      </c>
      <c r="D150" s="145" t="s">
        <v>89</v>
      </c>
      <c r="E150" s="145" t="s">
        <v>342</v>
      </c>
      <c r="F150" s="145"/>
      <c r="G150" s="145"/>
      <c r="H150" s="146" t="s">
        <v>104</v>
      </c>
      <c r="I150" s="146"/>
      <c r="J150" s="31">
        <v>123</v>
      </c>
      <c r="K150" s="31">
        <v>5</v>
      </c>
      <c r="L150" s="3" t="s">
        <v>419</v>
      </c>
      <c r="M150" s="3" t="s">
        <v>419</v>
      </c>
      <c r="N150" s="3">
        <v>1</v>
      </c>
      <c r="O150" s="31" t="s">
        <v>107</v>
      </c>
      <c r="P150" s="3">
        <v>1</v>
      </c>
      <c r="Q150" s="3">
        <f>IF($I$1=2020,0,IF($I$1=2025,'Desalination&amp;WaterStorage'!C23,IF($I$1=2030,'Desalination&amp;WaterStorage'!D23,IF($I$1=2035,'Desalination&amp;WaterStorage'!E23,IF($I$1=2040,'Desalination&amp;WaterStorage'!F23,IF($I$1=2045,'Desalination&amp;WaterStorage'!G23,'Desalination&amp;WaterStorage'!H23))))))</f>
        <v>1.5</v>
      </c>
      <c r="R150" s="3">
        <f>IF($I$1=2020,0,IF($I$1=2025,'Desalination&amp;WaterStorage'!C24,IF($I$1=2030,'Desalination&amp;WaterStorage'!D24,IF($I$1=2035,'Desalination&amp;WaterStorage'!E24,IF($I$1=2040,'Desalination&amp;WaterStorage'!F24,IF($I$1=2045,'Desalination&amp;WaterStorage'!G24,'Desalination&amp;WaterStorage'!H24))))))</f>
        <v>28</v>
      </c>
      <c r="S150" s="3">
        <v>1</v>
      </c>
      <c r="T150" s="3">
        <v>0</v>
      </c>
      <c r="U150" s="3">
        <v>0</v>
      </c>
    </row>
    <row r="151" spans="1:21">
      <c r="A151" s="3">
        <v>148</v>
      </c>
      <c r="B151" s="18" t="s">
        <v>424</v>
      </c>
      <c r="C151" s="31" t="s">
        <v>425</v>
      </c>
      <c r="D151" s="145" t="s">
        <v>89</v>
      </c>
      <c r="E151" s="145" t="s">
        <v>342</v>
      </c>
      <c r="F151" s="145"/>
      <c r="G151" s="145"/>
      <c r="H151" s="146" t="s">
        <v>52</v>
      </c>
      <c r="I151" s="146" t="s">
        <v>104</v>
      </c>
      <c r="J151" s="31">
        <v>123</v>
      </c>
      <c r="K151" s="31">
        <v>537</v>
      </c>
      <c r="L151" s="3" t="s">
        <v>426</v>
      </c>
      <c r="M151" s="3" t="s">
        <v>427</v>
      </c>
      <c r="N151" s="3">
        <f>1000/8760</f>
        <v>0.11415525114155251</v>
      </c>
      <c r="O151" s="31" t="s">
        <v>107</v>
      </c>
      <c r="P151" s="3">
        <v>1</v>
      </c>
      <c r="Q151" s="3">
        <f>IF($I$1=2020,0,IF($I$1=2025,'DAC&amp;CO2 Storage'!C5/1000,IF($I$1=2030,'DAC&amp;CO2 Storage'!D5/1000,IF($I$1=2035,'DAC&amp;CO2 Storage'!E5/1000,IF($I$1=2040,'DAC&amp;CO2 Storage'!F5/1000,IF($I$1=2045,'DAC&amp;CO2 Storage'!G5/1000,'DAC&amp;CO2 Storage'!H5/1000))))))</f>
        <v>0.182</v>
      </c>
      <c r="R151" s="3">
        <f>IF($I$1=2020,0,IF($I$1=2025,'DAC&amp;CO2 Storage'!C6/1000,IF($I$1=2030,'DAC&amp;CO2 Storage'!D6/1000,IF($I$1=2035,'DAC&amp;CO2 Storage'!E6/1000,IF($I$1=2040,'DAC&amp;CO2 Storage'!F6/1000,IF($I$1=2045,'DAC&amp;CO2 Storage'!G6/1000,'DAC&amp;CO2 Storage'!H6/1000))))))</f>
        <v>1.1020000000000001</v>
      </c>
      <c r="S151" s="3">
        <f>2/1000</f>
        <v>2E-3</v>
      </c>
      <c r="T151" s="3">
        <v>1</v>
      </c>
      <c r="U151" s="3">
        <v>0</v>
      </c>
    </row>
    <row r="152" spans="1:21" ht="28.5">
      <c r="A152" s="3">
        <v>149</v>
      </c>
      <c r="B152" s="142" t="s">
        <v>428</v>
      </c>
      <c r="C152" s="31" t="s">
        <v>429</v>
      </c>
      <c r="D152" s="145" t="s">
        <v>89</v>
      </c>
      <c r="E152" s="145" t="s">
        <v>104</v>
      </c>
      <c r="F152" s="145"/>
      <c r="G152" s="145"/>
      <c r="H152" s="146" t="s">
        <v>52</v>
      </c>
      <c r="I152" s="146"/>
      <c r="J152" s="31">
        <v>51</v>
      </c>
      <c r="K152" s="31">
        <v>37</v>
      </c>
      <c r="L152" s="3" t="s">
        <v>426</v>
      </c>
      <c r="M152" s="3" t="s">
        <v>427</v>
      </c>
      <c r="N152" s="3">
        <f>1000/8760</f>
        <v>0.11415525114155251</v>
      </c>
      <c r="O152" s="31" t="s">
        <v>107</v>
      </c>
      <c r="P152" s="3">
        <v>1</v>
      </c>
      <c r="Q152" s="31">
        <f>IF($I$1=2020,0,IF($I$1=2025,'DAC&amp;CO2 Storage'!C15/1000,IF($I$1=2030,'DAC&amp;CO2 Storage'!D15/1000,IF($I$1=2035,'DAC&amp;CO2 Storage'!E15/1000,IF($I$1=2040,'DAC&amp;CO2 Storage'!F15/1000,IF($I$1=2045,'DAC&amp;CO2 Storage'!G15/1000,'DAC&amp;CO2 Storage'!H15/1000))))))</f>
        <v>1.3160000000000001</v>
      </c>
      <c r="R152" s="31">
        <v>0</v>
      </c>
      <c r="S152" s="31">
        <f>50/1000</f>
        <v>0.05</v>
      </c>
      <c r="T152" s="31">
        <v>1</v>
      </c>
      <c r="U152" s="31">
        <v>0</v>
      </c>
    </row>
    <row r="153" spans="1:21">
      <c r="A153" s="3">
        <v>150</v>
      </c>
      <c r="B153" s="18" t="s">
        <v>430</v>
      </c>
      <c r="C153" s="31" t="s">
        <v>431</v>
      </c>
      <c r="D153" s="145" t="s">
        <v>365</v>
      </c>
      <c r="E153" s="145"/>
      <c r="F153" s="145"/>
      <c r="G153" s="145"/>
      <c r="H153" s="146" t="s">
        <v>389</v>
      </c>
      <c r="I153" s="146"/>
      <c r="J153" s="31">
        <v>38</v>
      </c>
      <c r="K153" s="31">
        <v>35</v>
      </c>
      <c r="L153" s="3" t="s">
        <v>366</v>
      </c>
      <c r="M153" s="3" t="s">
        <v>366</v>
      </c>
      <c r="N153" s="3">
        <v>1</v>
      </c>
      <c r="O153" s="31">
        <v>1</v>
      </c>
      <c r="P153" s="3">
        <v>1</v>
      </c>
      <c r="Q153" s="3">
        <v>0</v>
      </c>
      <c r="R153" s="3">
        <v>1</v>
      </c>
      <c r="S153" s="3">
        <v>0</v>
      </c>
      <c r="T153" s="3">
        <v>0</v>
      </c>
      <c r="U153" s="3">
        <v>0</v>
      </c>
    </row>
    <row r="154" spans="1:21">
      <c r="A154" s="3">
        <v>151</v>
      </c>
      <c r="B154" s="18" t="s">
        <v>432</v>
      </c>
      <c r="C154" s="31" t="s">
        <v>433</v>
      </c>
      <c r="D154" s="145" t="s">
        <v>365</v>
      </c>
      <c r="E154" s="145"/>
      <c r="F154" s="145"/>
      <c r="G154" s="145"/>
      <c r="H154" s="146" t="s">
        <v>392</v>
      </c>
      <c r="I154" s="146"/>
      <c r="J154" s="31">
        <v>38</v>
      </c>
      <c r="K154" s="31">
        <v>36</v>
      </c>
      <c r="L154" s="3" t="s">
        <v>366</v>
      </c>
      <c r="M154" s="3" t="s">
        <v>366</v>
      </c>
      <c r="N154" s="3">
        <v>1</v>
      </c>
      <c r="O154" s="31">
        <v>1</v>
      </c>
      <c r="P154" s="3">
        <v>1</v>
      </c>
      <c r="Q154" s="3">
        <v>0</v>
      </c>
      <c r="R154" s="3">
        <v>1</v>
      </c>
      <c r="S154" s="3">
        <v>0</v>
      </c>
      <c r="T154" s="3">
        <v>0</v>
      </c>
      <c r="U154" s="3">
        <v>0</v>
      </c>
    </row>
    <row r="155" spans="1:21">
      <c r="A155" s="3">
        <v>152</v>
      </c>
      <c r="B155" s="18" t="s">
        <v>434</v>
      </c>
      <c r="C155" s="31" t="s">
        <v>435</v>
      </c>
      <c r="D155" s="145" t="s">
        <v>389</v>
      </c>
      <c r="E155" s="145" t="s">
        <v>104</v>
      </c>
      <c r="F155" s="145"/>
      <c r="G155" s="145"/>
      <c r="H155" s="146" t="s">
        <v>89</v>
      </c>
      <c r="I155" s="146"/>
      <c r="J155" s="31">
        <v>535</v>
      </c>
      <c r="K155" s="31">
        <v>1</v>
      </c>
      <c r="L155" s="3" t="s">
        <v>90</v>
      </c>
      <c r="M155" s="3" t="s">
        <v>90</v>
      </c>
      <c r="N155" s="3">
        <v>1</v>
      </c>
      <c r="O155" s="31">
        <f>IF($I$1=2020,0,IF($I$1=2025,'CSP&amp;Storage'!C6/100,IF($I$1=2030,'CSP&amp;Storage'!D6/100,IF($I$1=2035,'CSP&amp;Storage'!E6/100,IF($I$1=2040,'CSP&amp;Storage'!F6/100,IF($I$1=2045,'CSP&amp;Storage'!G6/100,'CSP&amp;Storage'!H6/100))))))</f>
        <v>0.43</v>
      </c>
      <c r="P155" s="3">
        <v>1</v>
      </c>
      <c r="Q155" s="3">
        <v>1</v>
      </c>
      <c r="R155" s="3">
        <v>0</v>
      </c>
      <c r="S155" s="3">
        <v>3.2599999999999997E-2</v>
      </c>
      <c r="T155" s="3">
        <v>0</v>
      </c>
      <c r="U155" s="3">
        <v>0</v>
      </c>
    </row>
    <row r="156" spans="1:21">
      <c r="A156" s="3">
        <v>153</v>
      </c>
      <c r="B156" s="18" t="s">
        <v>436</v>
      </c>
      <c r="C156" s="31" t="s">
        <v>437</v>
      </c>
      <c r="D156" s="145" t="s">
        <v>392</v>
      </c>
      <c r="E156" s="145" t="s">
        <v>104</v>
      </c>
      <c r="F156" s="145"/>
      <c r="G156" s="145"/>
      <c r="H156" s="146" t="s">
        <v>89</v>
      </c>
      <c r="I156" s="146"/>
      <c r="J156" s="31">
        <v>536</v>
      </c>
      <c r="K156" s="31">
        <v>1</v>
      </c>
      <c r="L156" s="3" t="s">
        <v>90</v>
      </c>
      <c r="M156" s="3" t="s">
        <v>90</v>
      </c>
      <c r="N156" s="3">
        <v>1</v>
      </c>
      <c r="O156" s="31">
        <f>IF($I$1=2020,0,IF($I$1=2025,'CSP&amp;Storage'!C19/100,IF($I$1=2030,'CSP&amp;Storage'!D19/100,IF($I$1=2035,'CSP&amp;Storage'!E19/100,IF($I$1=2040,'CSP&amp;Storage'!F19/100,IF($I$1=2045,'CSP&amp;Storage'!G19/100,'CSP&amp;Storage'!H19/100))))))</f>
        <v>0.43</v>
      </c>
      <c r="P156" s="3">
        <v>1</v>
      </c>
      <c r="Q156" s="3">
        <v>1</v>
      </c>
      <c r="R156" s="3">
        <v>0</v>
      </c>
      <c r="S156" s="3">
        <v>0.04</v>
      </c>
      <c r="T156" s="3">
        <v>0</v>
      </c>
      <c r="U156" s="3">
        <v>0</v>
      </c>
    </row>
    <row r="157" spans="1:21">
      <c r="A157" s="3">
        <v>154</v>
      </c>
      <c r="B157" s="18" t="s">
        <v>438</v>
      </c>
      <c r="C157" s="31" t="s">
        <v>439</v>
      </c>
      <c r="D157" s="145" t="s">
        <v>104</v>
      </c>
      <c r="E157" s="145"/>
      <c r="F157" s="145"/>
      <c r="G157" s="145"/>
      <c r="H157" s="146" t="s">
        <v>440</v>
      </c>
      <c r="I157" s="146"/>
      <c r="J157" s="31">
        <v>5</v>
      </c>
      <c r="K157" s="31">
        <v>39</v>
      </c>
      <c r="L157" s="3" t="s">
        <v>419</v>
      </c>
      <c r="M157" s="3" t="s">
        <v>419</v>
      </c>
      <c r="N157" s="3">
        <v>1</v>
      </c>
      <c r="O157" s="31">
        <v>1</v>
      </c>
      <c r="P157" s="3">
        <v>1</v>
      </c>
      <c r="Q157" s="3">
        <v>0</v>
      </c>
      <c r="R157" s="3">
        <v>0</v>
      </c>
      <c r="S157" s="3">
        <v>1</v>
      </c>
      <c r="T157" s="3">
        <v>0</v>
      </c>
      <c r="U157" s="3">
        <v>0</v>
      </c>
    </row>
    <row r="158" spans="1:21">
      <c r="A158" s="3">
        <v>155</v>
      </c>
      <c r="B158" s="18" t="s">
        <v>441</v>
      </c>
      <c r="C158" s="31" t="s">
        <v>442</v>
      </c>
      <c r="D158" s="145" t="s">
        <v>440</v>
      </c>
      <c r="E158" s="145"/>
      <c r="F158" s="145"/>
      <c r="G158" s="145"/>
      <c r="H158" s="146" t="s">
        <v>104</v>
      </c>
      <c r="I158" s="146"/>
      <c r="J158" s="31">
        <v>39</v>
      </c>
      <c r="K158" s="31">
        <v>5</v>
      </c>
      <c r="L158" s="3" t="s">
        <v>419</v>
      </c>
      <c r="M158" s="3" t="s">
        <v>419</v>
      </c>
      <c r="N158" s="3">
        <v>1</v>
      </c>
      <c r="O158" s="31">
        <v>1</v>
      </c>
      <c r="P158" s="3">
        <v>1</v>
      </c>
      <c r="Q158" s="3">
        <v>0</v>
      </c>
      <c r="R158" s="3">
        <v>0</v>
      </c>
      <c r="S158" s="3">
        <v>1</v>
      </c>
      <c r="T158" s="3">
        <v>0</v>
      </c>
      <c r="U158" s="3">
        <v>0</v>
      </c>
    </row>
    <row r="159" spans="1:21">
      <c r="A159" s="3">
        <v>156</v>
      </c>
      <c r="B159" s="18" t="s">
        <v>443</v>
      </c>
      <c r="C159" s="31" t="s">
        <v>444</v>
      </c>
      <c r="D159" s="145" t="s">
        <v>337</v>
      </c>
      <c r="E159" s="145"/>
      <c r="F159" s="145"/>
      <c r="G159" s="145"/>
      <c r="H159" s="146" t="s">
        <v>445</v>
      </c>
      <c r="I159" s="146"/>
      <c r="J159" s="31">
        <v>24</v>
      </c>
      <c r="K159" s="31">
        <v>40</v>
      </c>
      <c r="L159" s="3" t="s">
        <v>366</v>
      </c>
      <c r="M159" s="3" t="s">
        <v>366</v>
      </c>
      <c r="N159" s="3">
        <v>1</v>
      </c>
      <c r="O159" s="31">
        <v>1</v>
      </c>
      <c r="P159" s="3">
        <v>1</v>
      </c>
      <c r="Q159" s="3">
        <v>0</v>
      </c>
      <c r="R159" s="3">
        <v>1</v>
      </c>
      <c r="S159" s="3">
        <v>0</v>
      </c>
      <c r="T159" s="3">
        <v>0</v>
      </c>
      <c r="U159" s="3">
        <v>0</v>
      </c>
    </row>
    <row r="160" spans="1:21">
      <c r="A160" s="3">
        <v>157</v>
      </c>
      <c r="B160" s="18" t="s">
        <v>446</v>
      </c>
      <c r="C160" s="31" t="s">
        <v>447</v>
      </c>
      <c r="D160" s="145" t="s">
        <v>445</v>
      </c>
      <c r="E160" s="145"/>
      <c r="F160" s="145"/>
      <c r="G160" s="145"/>
      <c r="H160" s="146" t="s">
        <v>337</v>
      </c>
      <c r="I160" s="146"/>
      <c r="J160" s="31">
        <v>40</v>
      </c>
      <c r="K160" s="31">
        <v>24</v>
      </c>
      <c r="L160" s="3" t="s">
        <v>366</v>
      </c>
      <c r="M160" s="3" t="s">
        <v>366</v>
      </c>
      <c r="N160" s="3">
        <v>1</v>
      </c>
      <c r="O160" s="31">
        <v>1</v>
      </c>
      <c r="P160" s="3">
        <v>1</v>
      </c>
      <c r="Q160" s="3">
        <v>0</v>
      </c>
      <c r="R160" s="3">
        <v>1</v>
      </c>
      <c r="S160" s="3">
        <v>0</v>
      </c>
      <c r="T160" s="3">
        <v>0</v>
      </c>
      <c r="U160" s="3">
        <v>0</v>
      </c>
    </row>
    <row r="161" spans="1:21">
      <c r="A161" s="3">
        <v>158</v>
      </c>
      <c r="B161" s="18" t="s">
        <v>448</v>
      </c>
      <c r="C161" s="31" t="s">
        <v>449</v>
      </c>
      <c r="D161" s="145" t="s">
        <v>342</v>
      </c>
      <c r="E161" s="145"/>
      <c r="F161" s="145"/>
      <c r="G161" s="145"/>
      <c r="H161" s="146" t="s">
        <v>450</v>
      </c>
      <c r="I161" s="146"/>
      <c r="J161" s="31">
        <v>23</v>
      </c>
      <c r="K161" s="31">
        <v>41</v>
      </c>
      <c r="L161" s="3" t="s">
        <v>366</v>
      </c>
      <c r="M161" s="3" t="s">
        <v>366</v>
      </c>
      <c r="N161" s="3">
        <v>1</v>
      </c>
      <c r="O161" s="31">
        <v>0.9</v>
      </c>
      <c r="P161" s="3">
        <v>1</v>
      </c>
      <c r="Q161" s="3">
        <v>0</v>
      </c>
      <c r="R161" s="3">
        <v>1</v>
      </c>
      <c r="S161" s="3">
        <v>0</v>
      </c>
      <c r="T161" s="3">
        <v>0</v>
      </c>
      <c r="U161" s="3">
        <v>0</v>
      </c>
    </row>
    <row r="162" spans="1:21">
      <c r="A162" s="3">
        <v>159</v>
      </c>
      <c r="B162" s="18" t="s">
        <v>451</v>
      </c>
      <c r="C162" s="31" t="s">
        <v>452</v>
      </c>
      <c r="D162" s="145" t="s">
        <v>450</v>
      </c>
      <c r="E162" s="145"/>
      <c r="F162" s="145"/>
      <c r="G162" s="145"/>
      <c r="H162" s="146" t="s">
        <v>342</v>
      </c>
      <c r="I162" s="146"/>
      <c r="J162" s="31">
        <v>41</v>
      </c>
      <c r="K162" s="31">
        <v>23</v>
      </c>
      <c r="L162" s="3" t="s">
        <v>366</v>
      </c>
      <c r="M162" s="3" t="s">
        <v>366</v>
      </c>
      <c r="N162" s="3">
        <v>1</v>
      </c>
      <c r="O162" s="31">
        <v>0.9</v>
      </c>
      <c r="P162" s="3">
        <v>1</v>
      </c>
      <c r="Q162" s="3">
        <v>0</v>
      </c>
      <c r="R162" s="3">
        <v>1</v>
      </c>
      <c r="S162" s="3">
        <v>0</v>
      </c>
      <c r="T162" s="3">
        <v>0</v>
      </c>
      <c r="U162" s="3">
        <v>0</v>
      </c>
    </row>
    <row r="163" spans="1:21">
      <c r="A163" s="3">
        <v>160</v>
      </c>
      <c r="B163" s="18" t="s">
        <v>453</v>
      </c>
      <c r="C163" s="31" t="s">
        <v>454</v>
      </c>
      <c r="D163" s="145" t="s">
        <v>52</v>
      </c>
      <c r="E163" s="145"/>
      <c r="F163" s="145"/>
      <c r="G163" s="145"/>
      <c r="H163" s="146" t="s">
        <v>455</v>
      </c>
      <c r="I163" s="146"/>
      <c r="J163" s="31">
        <v>37</v>
      </c>
      <c r="K163" s="31">
        <v>42</v>
      </c>
      <c r="L163" s="3" t="s">
        <v>427</v>
      </c>
      <c r="M163" s="3" t="s">
        <v>427</v>
      </c>
      <c r="N163" s="3">
        <v>1</v>
      </c>
      <c r="O163" s="31">
        <v>1</v>
      </c>
      <c r="P163" s="3">
        <v>1</v>
      </c>
      <c r="Q163" s="3">
        <v>0</v>
      </c>
      <c r="R163" s="3">
        <v>0</v>
      </c>
      <c r="S163" s="3">
        <v>0</v>
      </c>
      <c r="T163" s="3">
        <v>1</v>
      </c>
      <c r="U163" s="3">
        <v>0</v>
      </c>
    </row>
    <row r="164" spans="1:21" ht="14.65" thickBot="1">
      <c r="A164" s="4">
        <v>161</v>
      </c>
      <c r="B164" s="156" t="s">
        <v>456</v>
      </c>
      <c r="C164" s="34" t="s">
        <v>457</v>
      </c>
      <c r="D164" s="148" t="s">
        <v>455</v>
      </c>
      <c r="E164" s="148"/>
      <c r="F164" s="148"/>
      <c r="G164" s="148"/>
      <c r="H164" s="149" t="s">
        <v>52</v>
      </c>
      <c r="I164" s="149"/>
      <c r="J164" s="34">
        <v>42</v>
      </c>
      <c r="K164" s="34">
        <v>37</v>
      </c>
      <c r="L164" s="4" t="s">
        <v>427</v>
      </c>
      <c r="M164" s="4" t="s">
        <v>427</v>
      </c>
      <c r="N164" s="4">
        <v>1</v>
      </c>
      <c r="O164" s="34">
        <v>1</v>
      </c>
      <c r="P164" s="4">
        <v>1</v>
      </c>
      <c r="Q164" s="4">
        <v>0</v>
      </c>
      <c r="R164" s="4">
        <v>0</v>
      </c>
      <c r="S164" s="4">
        <v>0</v>
      </c>
      <c r="T164" s="4">
        <v>1</v>
      </c>
      <c r="U164" s="4">
        <v>0</v>
      </c>
    </row>
    <row r="165" spans="1:21">
      <c r="P165" s="1"/>
      <c r="Q165" s="1"/>
      <c r="R165" s="1"/>
      <c r="S165" s="1"/>
      <c r="T165" s="1"/>
    </row>
    <row r="166" spans="1:21">
      <c r="P166" s="1"/>
      <c r="Q166" s="1"/>
      <c r="R166" s="1"/>
      <c r="S166" s="1"/>
      <c r="T166" s="1"/>
    </row>
    <row r="167" spans="1:21" ht="14.65" thickBot="1">
      <c r="P167" s="1"/>
      <c r="Q167" s="1"/>
      <c r="R167" s="1"/>
      <c r="S167" s="1"/>
      <c r="T167" s="1"/>
    </row>
    <row r="168" spans="1:21" ht="28.9" thickBot="1">
      <c r="B168" s="157" t="s">
        <v>458</v>
      </c>
      <c r="C168" s="162"/>
      <c r="E168" s="166" t="s">
        <v>459</v>
      </c>
      <c r="F168" s="171" t="s">
        <v>67</v>
      </c>
      <c r="G168" s="167"/>
      <c r="H168" s="179" t="s">
        <v>460</v>
      </c>
      <c r="J168" s="166" t="s">
        <v>461</v>
      </c>
      <c r="K168" s="171" t="s">
        <v>462</v>
      </c>
      <c r="L168" s="167"/>
      <c r="M168" s="179" t="s">
        <v>463</v>
      </c>
      <c r="P168" s="1"/>
      <c r="Q168" s="1"/>
      <c r="R168" s="1"/>
      <c r="S168" s="1"/>
      <c r="T168" s="1"/>
    </row>
    <row r="169" spans="1:21" ht="28.9" thickBot="1">
      <c r="B169" s="158" t="s">
        <v>89</v>
      </c>
      <c r="C169" s="163">
        <v>1</v>
      </c>
      <c r="E169" s="168" t="s">
        <v>88</v>
      </c>
      <c r="F169" s="172" t="s">
        <v>464</v>
      </c>
      <c r="G169" s="176" t="s">
        <v>465</v>
      </c>
      <c r="H169" s="172">
        <v>2</v>
      </c>
      <c r="J169" s="168" t="s">
        <v>145</v>
      </c>
      <c r="K169" s="172" t="s">
        <v>466</v>
      </c>
      <c r="L169" s="176" t="s">
        <v>467</v>
      </c>
      <c r="M169" s="172">
        <v>13</v>
      </c>
      <c r="P169" s="1"/>
      <c r="Q169" s="1"/>
      <c r="R169" s="1"/>
      <c r="S169" s="1"/>
      <c r="T169" s="1"/>
    </row>
    <row r="170" spans="1:21" ht="28.9" thickBot="1">
      <c r="B170" s="158" t="s">
        <v>88</v>
      </c>
      <c r="C170" s="164">
        <v>2</v>
      </c>
      <c r="E170" s="168" t="s">
        <v>95</v>
      </c>
      <c r="F170" s="173" t="s">
        <v>468</v>
      </c>
      <c r="G170" s="177" t="s">
        <v>469</v>
      </c>
      <c r="H170" s="173">
        <v>3</v>
      </c>
      <c r="J170" s="168" t="s">
        <v>190</v>
      </c>
      <c r="K170" s="173" t="s">
        <v>470</v>
      </c>
      <c r="L170" s="177" t="s">
        <v>471</v>
      </c>
      <c r="M170" s="173">
        <v>14</v>
      </c>
      <c r="P170" s="1"/>
      <c r="Q170" s="1"/>
      <c r="R170" s="1"/>
      <c r="S170" s="1"/>
      <c r="T170" s="1"/>
    </row>
    <row r="171" spans="1:21" ht="28.9" thickBot="1">
      <c r="B171" s="158" t="s">
        <v>95</v>
      </c>
      <c r="C171" s="164">
        <v>3</v>
      </c>
      <c r="E171" s="169" t="s">
        <v>68</v>
      </c>
      <c r="F171" s="173" t="s">
        <v>472</v>
      </c>
      <c r="G171" s="177" t="s">
        <v>473</v>
      </c>
      <c r="H171" s="173">
        <v>4</v>
      </c>
      <c r="J171" s="169" t="s">
        <v>193</v>
      </c>
      <c r="K171" s="173" t="s">
        <v>474</v>
      </c>
      <c r="L171" s="176" t="s">
        <v>475</v>
      </c>
      <c r="M171" s="173">
        <v>15</v>
      </c>
      <c r="P171" s="1"/>
      <c r="Q171" s="1"/>
      <c r="R171" s="1"/>
      <c r="S171" s="1"/>
      <c r="T171" s="1"/>
    </row>
    <row r="172" spans="1:21" ht="28.9" thickBot="1">
      <c r="B172" s="158" t="s">
        <v>68</v>
      </c>
      <c r="C172" s="164">
        <v>4</v>
      </c>
      <c r="E172" s="169" t="s">
        <v>285</v>
      </c>
      <c r="F172" s="173" t="s">
        <v>476</v>
      </c>
      <c r="G172" s="177" t="s">
        <v>477</v>
      </c>
      <c r="H172" s="173">
        <v>25</v>
      </c>
      <c r="J172" s="169" t="s">
        <v>124</v>
      </c>
      <c r="K172" s="173" t="s">
        <v>478</v>
      </c>
      <c r="L172" s="177" t="s">
        <v>479</v>
      </c>
      <c r="M172" s="173">
        <v>16</v>
      </c>
      <c r="P172" s="1"/>
      <c r="Q172" s="1"/>
      <c r="R172" s="1"/>
      <c r="S172" s="1"/>
      <c r="T172" s="1"/>
    </row>
    <row r="173" spans="1:21" ht="28.9" thickBot="1">
      <c r="B173" s="158" t="s">
        <v>480</v>
      </c>
      <c r="C173" s="164">
        <v>5</v>
      </c>
      <c r="E173" s="169" t="s">
        <v>290</v>
      </c>
      <c r="F173" s="173" t="s">
        <v>481</v>
      </c>
      <c r="G173" s="177" t="s">
        <v>482</v>
      </c>
      <c r="H173" s="173">
        <v>26</v>
      </c>
      <c r="J173" s="169" t="s">
        <v>24</v>
      </c>
      <c r="K173" s="173" t="s">
        <v>483</v>
      </c>
      <c r="L173" s="176" t="s">
        <v>484</v>
      </c>
      <c r="M173" s="173">
        <v>17</v>
      </c>
      <c r="P173" s="1"/>
      <c r="Q173" s="1"/>
      <c r="R173" s="1"/>
      <c r="S173" s="1"/>
      <c r="T173" s="1"/>
    </row>
    <row r="174" spans="1:21" ht="28.9" thickBot="1">
      <c r="B174" s="158" t="s">
        <v>130</v>
      </c>
      <c r="C174" s="164">
        <v>6</v>
      </c>
      <c r="E174" s="169" t="s">
        <v>295</v>
      </c>
      <c r="F174" s="173" t="s">
        <v>485</v>
      </c>
      <c r="G174" s="177" t="s">
        <v>486</v>
      </c>
      <c r="H174" s="173">
        <v>27</v>
      </c>
      <c r="J174" s="169" t="s">
        <v>36</v>
      </c>
      <c r="K174" s="173" t="s">
        <v>487</v>
      </c>
      <c r="L174" s="177" t="s">
        <v>488</v>
      </c>
      <c r="M174" s="173">
        <v>19</v>
      </c>
      <c r="P174" s="1"/>
      <c r="Q174" s="1"/>
      <c r="R174" s="1"/>
      <c r="S174" s="1"/>
      <c r="T174" s="1"/>
    </row>
    <row r="175" spans="1:21" ht="28.9" thickBot="1">
      <c r="B175" s="158" t="s">
        <v>121</v>
      </c>
      <c r="C175" s="164">
        <v>7</v>
      </c>
      <c r="E175" s="169" t="s">
        <v>300</v>
      </c>
      <c r="F175" s="173" t="s">
        <v>489</v>
      </c>
      <c r="G175" s="177" t="s">
        <v>490</v>
      </c>
      <c r="H175" s="173">
        <v>28</v>
      </c>
      <c r="J175" s="169" t="s">
        <v>30</v>
      </c>
      <c r="K175" s="173" t="s">
        <v>491</v>
      </c>
      <c r="L175" s="176" t="s">
        <v>492</v>
      </c>
      <c r="M175" s="173">
        <v>18</v>
      </c>
      <c r="P175" s="1"/>
      <c r="Q175" s="1"/>
      <c r="R175" s="1"/>
      <c r="S175" s="1"/>
      <c r="T175" s="1"/>
    </row>
    <row r="176" spans="1:21" ht="28.9" thickBot="1">
      <c r="B176" s="158" t="s">
        <v>118</v>
      </c>
      <c r="C176" s="164">
        <v>8</v>
      </c>
      <c r="E176" s="169" t="s">
        <v>305</v>
      </c>
      <c r="F176" s="174" t="s">
        <v>493</v>
      </c>
      <c r="G176" s="177" t="s">
        <v>494</v>
      </c>
      <c r="H176" s="174">
        <v>29</v>
      </c>
      <c r="J176" s="169" t="s">
        <v>480</v>
      </c>
      <c r="K176" s="174" t="s">
        <v>495</v>
      </c>
      <c r="L176" s="177" t="s">
        <v>496</v>
      </c>
      <c r="M176" s="174">
        <v>5</v>
      </c>
      <c r="P176" s="1"/>
      <c r="Q176" s="1"/>
      <c r="R176" s="1"/>
      <c r="S176" s="1"/>
      <c r="T176" s="1"/>
    </row>
    <row r="177" spans="2:20" ht="28.9" thickBot="1">
      <c r="B177" s="158" t="s">
        <v>113</v>
      </c>
      <c r="C177" s="164">
        <v>9</v>
      </c>
      <c r="E177" s="169" t="s">
        <v>310</v>
      </c>
      <c r="F177" s="173" t="s">
        <v>497</v>
      </c>
      <c r="G177" s="177" t="s">
        <v>498</v>
      </c>
      <c r="H177" s="173">
        <v>30</v>
      </c>
      <c r="J177" s="169" t="s">
        <v>110</v>
      </c>
      <c r="K177" s="173" t="s">
        <v>499</v>
      </c>
      <c r="L177" s="176" t="s">
        <v>500</v>
      </c>
      <c r="M177" s="173">
        <v>10</v>
      </c>
      <c r="N177"/>
      <c r="P177" s="1"/>
      <c r="Q177" s="1"/>
      <c r="R177" s="1"/>
      <c r="S177" s="1"/>
      <c r="T177" s="1"/>
    </row>
    <row r="178" spans="2:20" ht="28.9" thickBot="1">
      <c r="B178" s="158" t="s">
        <v>110</v>
      </c>
      <c r="C178" s="164">
        <v>10</v>
      </c>
      <c r="E178" s="169" t="s">
        <v>315</v>
      </c>
      <c r="F178" s="173" t="s">
        <v>501</v>
      </c>
      <c r="G178" s="177" t="s">
        <v>502</v>
      </c>
      <c r="H178" s="173">
        <v>31</v>
      </c>
      <c r="J178" s="169" t="s">
        <v>142</v>
      </c>
      <c r="K178" s="173" t="s">
        <v>503</v>
      </c>
      <c r="L178" s="177" t="s">
        <v>504</v>
      </c>
      <c r="M178" s="173">
        <v>12</v>
      </c>
      <c r="P178" s="1"/>
      <c r="Q178" s="1"/>
      <c r="R178" s="1"/>
      <c r="S178" s="1"/>
      <c r="T178" s="1"/>
    </row>
    <row r="179" spans="2:20" ht="28.9" thickBot="1">
      <c r="B179" s="158" t="s">
        <v>105</v>
      </c>
      <c r="C179" s="164">
        <v>11</v>
      </c>
      <c r="E179" s="169" t="s">
        <v>320</v>
      </c>
      <c r="F179" s="173" t="s">
        <v>505</v>
      </c>
      <c r="G179" s="177" t="s">
        <v>506</v>
      </c>
      <c r="H179" s="173">
        <v>32</v>
      </c>
      <c r="J179" s="169" t="s">
        <v>30</v>
      </c>
      <c r="K179" s="173" t="s">
        <v>507</v>
      </c>
      <c r="L179" s="176" t="s">
        <v>508</v>
      </c>
      <c r="M179" s="173">
        <v>18</v>
      </c>
      <c r="P179" s="1"/>
      <c r="Q179" s="1"/>
      <c r="R179" s="1"/>
      <c r="S179" s="1"/>
      <c r="T179" s="1"/>
    </row>
    <row r="180" spans="2:20" ht="14.65" thickBot="1">
      <c r="B180" s="158" t="s">
        <v>142</v>
      </c>
      <c r="C180" s="164">
        <v>12</v>
      </c>
      <c r="E180" s="168" t="s">
        <v>325</v>
      </c>
      <c r="F180" s="173" t="s">
        <v>509</v>
      </c>
      <c r="G180" s="177" t="s">
        <v>510</v>
      </c>
      <c r="H180" s="173">
        <v>33</v>
      </c>
      <c r="J180" s="168" t="s">
        <v>480</v>
      </c>
      <c r="K180" s="173" t="s">
        <v>511</v>
      </c>
      <c r="L180" s="177" t="s">
        <v>512</v>
      </c>
      <c r="M180" s="173">
        <v>5</v>
      </c>
      <c r="P180" s="1"/>
      <c r="Q180" s="1"/>
      <c r="R180" s="1"/>
      <c r="S180" s="1"/>
      <c r="T180" s="1"/>
    </row>
    <row r="181" spans="2:20" ht="14.65" thickBot="1">
      <c r="B181" s="158" t="s">
        <v>145</v>
      </c>
      <c r="C181" s="164">
        <v>13</v>
      </c>
      <c r="E181" s="168" t="s">
        <v>330</v>
      </c>
      <c r="F181" s="173" t="s">
        <v>513</v>
      </c>
      <c r="G181" s="177" t="s">
        <v>514</v>
      </c>
      <c r="H181" s="173">
        <v>34</v>
      </c>
      <c r="J181" s="170" t="s">
        <v>89</v>
      </c>
      <c r="K181" s="175" t="s">
        <v>515</v>
      </c>
      <c r="L181" s="184" t="s">
        <v>516</v>
      </c>
      <c r="M181" s="175">
        <v>1</v>
      </c>
      <c r="O181" s="1"/>
      <c r="P181" s="1"/>
      <c r="Q181" s="1"/>
      <c r="R181" s="1"/>
      <c r="S181" s="1"/>
      <c r="T181" s="1"/>
    </row>
    <row r="182" spans="2:20" ht="28.9" thickBot="1">
      <c r="B182" s="158" t="s">
        <v>190</v>
      </c>
      <c r="C182" s="164">
        <v>14</v>
      </c>
      <c r="E182" s="168" t="s">
        <v>389</v>
      </c>
      <c r="F182" s="173" t="s">
        <v>517</v>
      </c>
      <c r="G182" s="177" t="s">
        <v>518</v>
      </c>
      <c r="H182" s="173">
        <v>35</v>
      </c>
      <c r="M182" s="1"/>
      <c r="O182"/>
      <c r="P182" s="1"/>
      <c r="Q182" s="1"/>
      <c r="R182" s="1"/>
      <c r="S182" s="1"/>
      <c r="T182" s="1"/>
    </row>
    <row r="183" spans="2:20" ht="28.9" thickBot="1">
      <c r="B183" s="158" t="s">
        <v>193</v>
      </c>
      <c r="C183" s="164">
        <v>15</v>
      </c>
      <c r="E183" s="168" t="s">
        <v>392</v>
      </c>
      <c r="F183" s="173" t="s">
        <v>519</v>
      </c>
      <c r="G183" s="177" t="s">
        <v>520</v>
      </c>
      <c r="H183" s="173">
        <v>36</v>
      </c>
      <c r="P183" s="1"/>
      <c r="Q183" s="1"/>
      <c r="R183" s="1"/>
      <c r="S183" s="1"/>
      <c r="T183" s="1"/>
    </row>
    <row r="184" spans="2:20" ht="14.65" thickBot="1">
      <c r="B184" s="158" t="s">
        <v>124</v>
      </c>
      <c r="C184" s="164">
        <v>16</v>
      </c>
      <c r="E184" s="168" t="s">
        <v>440</v>
      </c>
      <c r="F184" s="173" t="s">
        <v>521</v>
      </c>
      <c r="G184" s="177" t="s">
        <v>522</v>
      </c>
      <c r="H184" s="173">
        <v>39</v>
      </c>
    </row>
    <row r="185" spans="2:20" ht="28.9" thickBot="1">
      <c r="B185" s="158" t="s">
        <v>24</v>
      </c>
      <c r="C185" s="164">
        <v>17</v>
      </c>
      <c r="E185" s="168" t="s">
        <v>445</v>
      </c>
      <c r="F185" s="173" t="s">
        <v>523</v>
      </c>
      <c r="G185" s="177" t="s">
        <v>524</v>
      </c>
      <c r="H185" s="173">
        <v>40</v>
      </c>
    </row>
    <row r="186" spans="2:20" ht="14.65" thickBot="1">
      <c r="B186" s="158" t="s">
        <v>30</v>
      </c>
      <c r="C186" s="164">
        <v>18</v>
      </c>
      <c r="E186" s="168" t="s">
        <v>450</v>
      </c>
      <c r="F186" s="173" t="s">
        <v>525</v>
      </c>
      <c r="G186" s="177" t="s">
        <v>526</v>
      </c>
      <c r="H186" s="173">
        <v>41</v>
      </c>
    </row>
    <row r="187" spans="2:20" ht="14.65" thickBot="1">
      <c r="B187" s="158" t="s">
        <v>36</v>
      </c>
      <c r="C187" s="164">
        <v>19</v>
      </c>
      <c r="E187" s="170" t="s">
        <v>455</v>
      </c>
      <c r="F187" s="175" t="s">
        <v>527</v>
      </c>
      <c r="G187" s="178" t="s">
        <v>528</v>
      </c>
      <c r="H187" s="175">
        <v>42</v>
      </c>
    </row>
    <row r="188" spans="2:20" ht="14.65" thickBot="1">
      <c r="B188" s="158" t="s">
        <v>40</v>
      </c>
      <c r="C188" s="164">
        <v>20</v>
      </c>
      <c r="E188" s="68"/>
      <c r="F188" s="68"/>
      <c r="G188" s="68"/>
      <c r="H188" s="68"/>
    </row>
    <row r="189" spans="2:20" ht="14.65" thickBot="1">
      <c r="B189" s="158" t="s">
        <v>273</v>
      </c>
      <c r="C189" s="164">
        <v>21</v>
      </c>
    </row>
    <row r="190" spans="2:20" ht="14.65" thickBot="1">
      <c r="B190" s="158" t="s">
        <v>268</v>
      </c>
      <c r="C190" s="164">
        <v>22</v>
      </c>
    </row>
    <row r="191" spans="2:20" ht="14.65" thickBot="1">
      <c r="B191" s="158" t="s">
        <v>342</v>
      </c>
      <c r="C191" s="164">
        <v>23</v>
      </c>
    </row>
    <row r="192" spans="2:20" ht="14.65" thickBot="1">
      <c r="B192" s="158" t="s">
        <v>337</v>
      </c>
      <c r="C192" s="164">
        <v>24</v>
      </c>
    </row>
    <row r="193" spans="2:3" ht="14.65" thickBot="1">
      <c r="B193" s="158" t="s">
        <v>285</v>
      </c>
      <c r="C193" s="164">
        <v>25</v>
      </c>
    </row>
    <row r="194" spans="2:3" ht="14.65" thickBot="1">
      <c r="B194" s="158" t="s">
        <v>290</v>
      </c>
      <c r="C194" s="164">
        <v>26</v>
      </c>
    </row>
    <row r="195" spans="2:3" ht="14.65" thickBot="1">
      <c r="B195" s="158" t="s">
        <v>295</v>
      </c>
      <c r="C195" s="164">
        <v>27</v>
      </c>
    </row>
    <row r="196" spans="2:3" ht="14.65" thickBot="1">
      <c r="B196" s="158" t="s">
        <v>300</v>
      </c>
      <c r="C196" s="164">
        <v>28</v>
      </c>
    </row>
    <row r="197" spans="2:3" ht="14.65" thickBot="1">
      <c r="B197" s="158" t="s">
        <v>305</v>
      </c>
      <c r="C197" s="164">
        <v>29</v>
      </c>
    </row>
    <row r="198" spans="2:3" ht="14.65" thickBot="1">
      <c r="B198" s="158" t="s">
        <v>310</v>
      </c>
      <c r="C198" s="164">
        <v>30</v>
      </c>
    </row>
    <row r="199" spans="2:3" ht="14.65" thickBot="1">
      <c r="B199" s="158" t="s">
        <v>315</v>
      </c>
      <c r="C199" s="164">
        <v>31</v>
      </c>
    </row>
    <row r="200" spans="2:3" ht="14.65" thickBot="1">
      <c r="B200" s="158" t="s">
        <v>320</v>
      </c>
      <c r="C200" s="164">
        <v>32</v>
      </c>
    </row>
    <row r="201" spans="2:3" ht="14.65" thickBot="1">
      <c r="B201" s="158" t="s">
        <v>325</v>
      </c>
      <c r="C201" s="164">
        <v>33</v>
      </c>
    </row>
    <row r="202" spans="2:3" ht="14.65" thickBot="1">
      <c r="B202" s="159" t="s">
        <v>330</v>
      </c>
      <c r="C202" s="164">
        <v>34</v>
      </c>
    </row>
    <row r="203" spans="2:3" ht="14.65" thickBot="1">
      <c r="B203" s="160" t="s">
        <v>389</v>
      </c>
      <c r="C203" s="164">
        <v>35</v>
      </c>
    </row>
    <row r="204" spans="2:3" ht="14.65" thickBot="1">
      <c r="B204" s="158" t="s">
        <v>392</v>
      </c>
      <c r="C204" s="164">
        <v>36</v>
      </c>
    </row>
    <row r="205" spans="2:3" ht="14.65" thickBot="1">
      <c r="B205" s="158" t="s">
        <v>52</v>
      </c>
      <c r="C205" s="164">
        <v>37</v>
      </c>
    </row>
    <row r="206" spans="2:3" ht="14.65" thickBot="1">
      <c r="B206" s="158" t="s">
        <v>365</v>
      </c>
      <c r="C206" s="164">
        <v>38</v>
      </c>
    </row>
    <row r="207" spans="2:3" ht="14.65" thickBot="1">
      <c r="B207" s="160" t="s">
        <v>440</v>
      </c>
      <c r="C207" s="164">
        <v>39</v>
      </c>
    </row>
    <row r="208" spans="2:3" ht="14.65" thickBot="1">
      <c r="B208" s="158" t="s">
        <v>445</v>
      </c>
      <c r="C208" s="164">
        <v>40</v>
      </c>
    </row>
    <row r="209" spans="2:3" ht="14.65" thickBot="1">
      <c r="B209" s="159" t="s">
        <v>450</v>
      </c>
      <c r="C209" s="164">
        <v>41</v>
      </c>
    </row>
    <row r="210" spans="2:3" ht="14.65" thickBot="1">
      <c r="B210" s="161" t="s">
        <v>455</v>
      </c>
      <c r="C210" s="165">
        <v>42</v>
      </c>
    </row>
    <row r="211" spans="2:3">
      <c r="B211" s="1"/>
      <c r="C211" s="35"/>
    </row>
    <row r="212" spans="2:3">
      <c r="C212" s="35"/>
    </row>
    <row r="213" spans="2:3">
      <c r="B213" s="35"/>
      <c r="C213" s="35"/>
    </row>
    <row r="214" spans="2:3">
      <c r="B214" s="35"/>
      <c r="C214" s="35"/>
    </row>
    <row r="215" spans="2:3">
      <c r="B215" s="1"/>
    </row>
    <row r="216" spans="2:3">
      <c r="B216" s="1"/>
    </row>
    <row r="217" spans="2:3">
      <c r="B217" s="1"/>
    </row>
    <row r="218" spans="2:3">
      <c r="B218" s="1"/>
    </row>
    <row r="219" spans="2:3">
      <c r="B219" s="1"/>
    </row>
  </sheetData>
  <phoneticPr fontId="2" type="noConversion"/>
  <dataValidations count="1">
    <dataValidation type="list" allowBlank="1" showInputMessage="1" showErrorMessage="1" sqref="I1" xr:uid="{7CD6EDAE-A3F7-472D-B766-0CF49078575B}">
      <formula1>Años</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B53D-C9C7-40BE-B7AB-6EC73B6814BB}">
  <sheetPr codeName="Hoja4"/>
  <dimension ref="A1:AT43"/>
  <sheetViews>
    <sheetView workbookViewId="0">
      <selection activeCell="D12" sqref="D12"/>
    </sheetView>
  </sheetViews>
  <sheetFormatPr defaultColWidth="11.42578125" defaultRowHeight="14.25"/>
  <cols>
    <col min="1" max="1" width="27.7109375" customWidth="1"/>
    <col min="2" max="4" width="18.7109375" customWidth="1"/>
    <col min="5" max="5" width="19.28515625" customWidth="1"/>
    <col min="6" max="6" width="21.7109375" customWidth="1"/>
    <col min="7" max="10" width="25" customWidth="1"/>
    <col min="11" max="11" width="4" bestFit="1" customWidth="1"/>
    <col min="12" max="12" width="8.7109375" customWidth="1"/>
    <col min="13" max="15" width="6" bestFit="1" customWidth="1"/>
    <col min="16" max="18" width="5" bestFit="1" customWidth="1"/>
    <col min="19" max="19" width="6" bestFit="1" customWidth="1"/>
    <col min="20" max="21" width="5" bestFit="1" customWidth="1"/>
    <col min="22" max="22" width="6" bestFit="1" customWidth="1"/>
    <col min="23" max="23" width="5" bestFit="1" customWidth="1"/>
    <col min="24" max="25" width="4" bestFit="1" customWidth="1"/>
    <col min="26" max="30" width="5" bestFit="1" customWidth="1"/>
    <col min="31" max="31" width="6" bestFit="1" customWidth="1"/>
    <col min="32" max="34" width="5" bestFit="1" customWidth="1"/>
    <col min="35" max="36" width="6" bestFit="1" customWidth="1"/>
    <col min="37" max="38" width="5" bestFit="1" customWidth="1"/>
    <col min="39" max="39" width="4.42578125" bestFit="1" customWidth="1"/>
    <col min="40" max="40" width="6" bestFit="1" customWidth="1"/>
    <col min="41" max="42" width="5" bestFit="1" customWidth="1"/>
    <col min="43" max="43" width="6" bestFit="1" customWidth="1"/>
    <col min="44" max="44" width="4.140625" customWidth="1"/>
    <col min="45" max="45" width="4" bestFit="1" customWidth="1"/>
  </cols>
  <sheetData>
    <row r="1" spans="1:46" ht="14.65" thickBot="1">
      <c r="A1" s="20" t="s">
        <v>74</v>
      </c>
      <c r="B1" s="22">
        <v>2025</v>
      </c>
      <c r="D1" s="20" t="s">
        <v>529</v>
      </c>
      <c r="E1" s="20" t="s">
        <v>530</v>
      </c>
      <c r="G1" s="50" t="s">
        <v>531</v>
      </c>
      <c r="H1" s="32"/>
      <c r="I1" s="32"/>
      <c r="J1" s="32"/>
      <c r="L1" s="203" t="s">
        <v>532</v>
      </c>
      <c r="M1" s="55"/>
      <c r="N1" s="56"/>
      <c r="O1" s="56"/>
      <c r="P1" s="57"/>
      <c r="Q1" s="56"/>
      <c r="R1" s="56"/>
      <c r="S1" s="57"/>
      <c r="T1" s="57"/>
      <c r="U1" s="57"/>
      <c r="V1" s="57"/>
      <c r="W1" s="57"/>
      <c r="X1" s="56"/>
      <c r="Y1" s="57"/>
      <c r="Z1" s="57"/>
      <c r="AA1" s="57"/>
      <c r="AB1" s="57"/>
      <c r="AC1" s="57"/>
      <c r="AD1" s="57"/>
      <c r="AE1" s="57"/>
      <c r="AF1" s="57"/>
      <c r="AG1" s="57"/>
      <c r="AH1" s="57"/>
      <c r="AI1" s="57"/>
      <c r="AJ1" s="57"/>
      <c r="AK1" s="57"/>
      <c r="AL1" s="57"/>
      <c r="AM1" s="57"/>
      <c r="AN1" s="57"/>
      <c r="AO1" s="57"/>
      <c r="AP1" s="57"/>
      <c r="AQ1" s="57"/>
      <c r="AR1" s="57"/>
      <c r="AS1" s="58"/>
      <c r="AT1" s="33"/>
    </row>
    <row r="2" spans="1:46" ht="28.9" thickBot="1">
      <c r="A2" s="27" t="s">
        <v>533</v>
      </c>
      <c r="B2" s="135">
        <v>3</v>
      </c>
      <c r="D2" s="47" t="s">
        <v>534</v>
      </c>
      <c r="E2" s="134" t="s">
        <v>535</v>
      </c>
      <c r="G2" s="51" t="s">
        <v>536</v>
      </c>
      <c r="H2" s="32"/>
      <c r="I2" s="32"/>
      <c r="J2" s="32"/>
      <c r="L2" s="204"/>
      <c r="M2" s="59">
        <v>1</v>
      </c>
      <c r="N2" s="60">
        <v>2</v>
      </c>
      <c r="O2" s="60">
        <v>3</v>
      </c>
      <c r="P2" s="61">
        <v>4</v>
      </c>
      <c r="Q2" s="60">
        <v>5</v>
      </c>
      <c r="R2" s="60">
        <v>6</v>
      </c>
      <c r="S2" s="61">
        <v>7</v>
      </c>
      <c r="T2" s="61">
        <v>8</v>
      </c>
      <c r="U2" s="61">
        <v>9</v>
      </c>
      <c r="V2" s="61">
        <v>10</v>
      </c>
      <c r="W2" s="61">
        <v>11</v>
      </c>
      <c r="X2" s="60">
        <v>12</v>
      </c>
      <c r="Y2" s="61">
        <v>13</v>
      </c>
      <c r="Z2" s="61">
        <v>14</v>
      </c>
      <c r="AA2" s="61">
        <v>15</v>
      </c>
      <c r="AB2" s="61">
        <v>16</v>
      </c>
      <c r="AC2" s="61">
        <v>17</v>
      </c>
      <c r="AD2" s="61">
        <v>18</v>
      </c>
      <c r="AE2" s="61">
        <v>19</v>
      </c>
      <c r="AF2" s="61">
        <v>20</v>
      </c>
      <c r="AG2" s="61">
        <v>21</v>
      </c>
      <c r="AH2" s="61">
        <v>22</v>
      </c>
      <c r="AI2" s="61">
        <v>23</v>
      </c>
      <c r="AJ2" s="61">
        <v>24</v>
      </c>
      <c r="AK2" s="61">
        <v>25</v>
      </c>
      <c r="AL2" s="61">
        <v>26</v>
      </c>
      <c r="AM2" s="61">
        <v>27</v>
      </c>
      <c r="AN2" s="61">
        <v>28</v>
      </c>
      <c r="AO2" s="61">
        <v>29</v>
      </c>
      <c r="AP2" s="61">
        <v>30</v>
      </c>
      <c r="AQ2" s="61">
        <v>31</v>
      </c>
      <c r="AR2" s="61">
        <v>32</v>
      </c>
      <c r="AS2" s="62">
        <v>33</v>
      </c>
      <c r="AT2" s="33"/>
    </row>
    <row r="3" spans="1:46" ht="14.65" thickBot="1">
      <c r="A3" s="20" t="s">
        <v>537</v>
      </c>
      <c r="B3" s="23">
        <v>2</v>
      </c>
      <c r="L3" s="52">
        <v>1</v>
      </c>
      <c r="M3" s="42">
        <v>0</v>
      </c>
      <c r="N3" s="35"/>
      <c r="O3" s="35"/>
      <c r="P3" s="35"/>
      <c r="Q3" s="35"/>
      <c r="R3" s="35"/>
      <c r="S3" s="35"/>
      <c r="T3" s="65">
        <v>10.3</v>
      </c>
      <c r="U3" s="63">
        <v>6.3</v>
      </c>
      <c r="V3" s="65">
        <v>27.63</v>
      </c>
      <c r="W3" s="35"/>
      <c r="X3" s="35"/>
      <c r="Y3" s="35"/>
      <c r="Z3" s="35"/>
      <c r="AA3" s="35"/>
      <c r="AB3" s="35"/>
      <c r="AC3" s="35"/>
      <c r="AD3" s="35"/>
      <c r="AE3" s="35"/>
      <c r="AF3" s="35"/>
      <c r="AG3" s="35"/>
      <c r="AH3" s="35"/>
      <c r="AI3" s="35"/>
      <c r="AJ3" s="35"/>
      <c r="AK3" s="35"/>
      <c r="AL3" s="35"/>
      <c r="AM3" s="35"/>
      <c r="AN3" s="35"/>
      <c r="AO3" s="35"/>
      <c r="AP3" s="35"/>
      <c r="AQ3" s="35"/>
      <c r="AR3" s="35"/>
      <c r="AS3" s="41"/>
      <c r="AT3" s="33"/>
    </row>
    <row r="4" spans="1:46" ht="14.65" thickBot="1">
      <c r="L4" s="53">
        <v>2</v>
      </c>
      <c r="M4" s="35"/>
      <c r="N4" s="42">
        <v>0</v>
      </c>
      <c r="O4" s="65">
        <v>56</v>
      </c>
      <c r="P4" s="35"/>
      <c r="Q4" s="35"/>
      <c r="R4" s="35"/>
      <c r="S4" s="35"/>
      <c r="T4" s="35"/>
      <c r="U4" s="35"/>
      <c r="V4" s="65">
        <v>16.2</v>
      </c>
      <c r="W4" s="63">
        <v>25.4</v>
      </c>
      <c r="X4" s="65">
        <v>118</v>
      </c>
      <c r="Y4" s="35"/>
      <c r="Z4" s="65">
        <v>23.7</v>
      </c>
      <c r="AA4" s="65">
        <v>40</v>
      </c>
      <c r="AB4" s="63">
        <v>47.8</v>
      </c>
      <c r="AC4" s="35"/>
      <c r="AD4" s="63">
        <v>47.9</v>
      </c>
      <c r="AE4" s="65">
        <v>65.55</v>
      </c>
      <c r="AF4" s="35"/>
      <c r="AG4" s="35"/>
      <c r="AH4" s="35"/>
      <c r="AI4" s="35"/>
      <c r="AJ4" s="35"/>
      <c r="AK4" s="35"/>
      <c r="AL4" s="35"/>
      <c r="AM4" s="35"/>
      <c r="AN4" s="35"/>
      <c r="AO4" s="35"/>
      <c r="AP4" s="35"/>
      <c r="AQ4" s="35"/>
      <c r="AR4" s="35"/>
      <c r="AS4" s="41"/>
      <c r="AT4" s="33"/>
    </row>
    <row r="5" spans="1:46" ht="14.65" thickBot="1">
      <c r="A5" s="43" t="s">
        <v>538</v>
      </c>
      <c r="L5" s="53">
        <v>3</v>
      </c>
      <c r="M5" s="35"/>
      <c r="N5" s="65">
        <v>56</v>
      </c>
      <c r="O5" s="42">
        <v>0</v>
      </c>
      <c r="P5" s="63">
        <v>65.3</v>
      </c>
      <c r="Q5" s="35"/>
      <c r="R5" s="35"/>
      <c r="S5" s="35"/>
      <c r="T5" s="35"/>
      <c r="U5" s="35"/>
      <c r="V5" s="63">
        <v>100</v>
      </c>
      <c r="W5" s="35"/>
      <c r="X5" s="35"/>
      <c r="Y5" s="35"/>
      <c r="Z5" s="35"/>
      <c r="AA5" s="35"/>
      <c r="AB5" s="35"/>
      <c r="AC5" s="35"/>
      <c r="AD5" s="35"/>
      <c r="AE5" s="35"/>
      <c r="AF5" s="35"/>
      <c r="AG5" s="35"/>
      <c r="AH5" s="35"/>
      <c r="AI5" s="35"/>
      <c r="AJ5" s="35"/>
      <c r="AK5" s="35"/>
      <c r="AL5" s="35"/>
      <c r="AM5" s="35"/>
      <c r="AN5" s="65">
        <v>71.77</v>
      </c>
      <c r="AO5" s="35"/>
      <c r="AP5" s="35"/>
      <c r="AQ5" s="35"/>
      <c r="AR5" s="35"/>
      <c r="AS5" s="41"/>
      <c r="AT5" s="33"/>
    </row>
    <row r="6" spans="1:46" ht="34.15" customHeight="1" thickBot="1">
      <c r="A6" s="27" t="s">
        <v>539</v>
      </c>
      <c r="B6" s="28" t="s">
        <v>540</v>
      </c>
      <c r="C6" s="28" t="s">
        <v>541</v>
      </c>
      <c r="D6" s="28" t="s">
        <v>542</v>
      </c>
      <c r="E6" s="28" t="s">
        <v>543</v>
      </c>
      <c r="F6" s="28" t="s">
        <v>544</v>
      </c>
      <c r="G6" s="30" t="s">
        <v>545</v>
      </c>
      <c r="H6" s="30" t="s">
        <v>546</v>
      </c>
      <c r="I6" s="28" t="s">
        <v>547</v>
      </c>
      <c r="J6" s="29" t="s">
        <v>548</v>
      </c>
      <c r="L6" s="53">
        <v>4</v>
      </c>
      <c r="M6" s="35"/>
      <c r="N6" s="35"/>
      <c r="O6" s="63">
        <v>65.3</v>
      </c>
      <c r="P6" s="42">
        <v>0</v>
      </c>
      <c r="Q6" s="63">
        <v>4.2</v>
      </c>
      <c r="R6" s="35"/>
      <c r="S6" s="35"/>
      <c r="T6" s="35"/>
      <c r="U6" s="35"/>
      <c r="V6" s="35"/>
      <c r="W6" s="35"/>
      <c r="X6" s="35"/>
      <c r="Y6" s="35"/>
      <c r="Z6" s="35"/>
      <c r="AA6" s="35"/>
      <c r="AB6" s="35"/>
      <c r="AC6" s="35"/>
      <c r="AD6" s="35"/>
      <c r="AE6" s="35"/>
      <c r="AF6" s="35"/>
      <c r="AG6" s="35"/>
      <c r="AH6" s="35"/>
      <c r="AI6" s="35"/>
      <c r="AJ6" s="35"/>
      <c r="AK6" s="35"/>
      <c r="AL6" s="35"/>
      <c r="AM6" s="35"/>
      <c r="AN6" s="35"/>
      <c r="AO6" s="65">
        <v>2.23</v>
      </c>
      <c r="AP6" s="35"/>
      <c r="AQ6" s="35"/>
      <c r="AR6" s="35"/>
      <c r="AS6" s="41"/>
      <c r="AT6" s="33"/>
    </row>
    <row r="7" spans="1:46" ht="17.25" customHeight="1">
      <c r="A7" s="44" t="s">
        <v>466</v>
      </c>
      <c r="B7" s="2">
        <f>(2*VLOOKUP(B2,L2:AS35,MATCH(B3,L2:AS2,0),FALSE)/60)+2*'Truck+Trailers'!$C$20</f>
        <v>5.8666666666666671</v>
      </c>
      <c r="C7" s="2">
        <f>720/B7</f>
        <v>122.72727272727272</v>
      </c>
      <c r="D7" s="2">
        <v>0</v>
      </c>
      <c r="E7" s="2">
        <f>'Truck+Trailers'!B15*'Truck+Trailers'!B14</f>
        <v>550000.80000000005</v>
      </c>
      <c r="F7" s="37">
        <f>(2*VLOOKUP(B2,L2:AS35,MATCH(B3,L2:AS2,0),FALSE)*(26+720/1000)*IF(B1=2020,'Truck+Trailers'!B2,IF(B1=2025,'Truck+Trailers'!C2,IF(B1=2030,'Truck+Trailers'!D2,IF(B1=2035,'Truck+Trailers'!E2,IF(B1=2040,'Truck+Trailers'!F2,IF(B1=2045,'Truck+Trailers'!G2,'Truck+Trailers'!H2)))))))</f>
        <v>65.838079999999991</v>
      </c>
      <c r="G7" s="37">
        <f>F7/C7+E7/C7</f>
        <v>4482.0244584296297</v>
      </c>
      <c r="H7" s="2">
        <f>0.02*Transport!E7/Transport!C7</f>
        <v>89.629760000000019</v>
      </c>
      <c r="I7" s="180">
        <f>(2*VLOOKUP(B2,L2:AS35,MATCH(B3,L2:AS2,0),FALSE))*IF(B1=2020,'Truck+Trailers'!B8,IF(B1=2025,'Truck+Trailers'!C8,IF(B1=2030,'Truck+Trailers'!D8,IF(B1=2035,'Truck+Trailers'!E8,IF(B1=2040,'Truck+Trailers'!F8,IF(B1=2045,'Truck+Trailers'!G8,'Truck+Trailers'!H8))))))</f>
        <v>6.72</v>
      </c>
      <c r="J7" s="2">
        <f t="shared" ref="J7:J14" si="0">I7/C7</f>
        <v>5.4755555555555557E-2</v>
      </c>
      <c r="L7" s="53">
        <v>5</v>
      </c>
      <c r="M7" s="35"/>
      <c r="N7" s="35"/>
      <c r="O7" s="35"/>
      <c r="P7" s="63">
        <v>4.2</v>
      </c>
      <c r="Q7" s="42">
        <v>0</v>
      </c>
      <c r="R7" s="63">
        <v>1.44</v>
      </c>
      <c r="S7" s="35"/>
      <c r="T7" s="35"/>
      <c r="U7" s="35"/>
      <c r="V7" s="35"/>
      <c r="W7" s="35"/>
      <c r="X7" s="35"/>
      <c r="Y7" s="35"/>
      <c r="Z7" s="35"/>
      <c r="AA7" s="35"/>
      <c r="AB7" s="35"/>
      <c r="AC7" s="35"/>
      <c r="AD7" s="35"/>
      <c r="AE7" s="35"/>
      <c r="AF7" s="35"/>
      <c r="AG7" s="35"/>
      <c r="AH7" s="35"/>
      <c r="AI7" s="35"/>
      <c r="AJ7" s="35"/>
      <c r="AK7" s="35"/>
      <c r="AL7" s="35"/>
      <c r="AM7" s="35"/>
      <c r="AN7" s="65">
        <v>8.61</v>
      </c>
      <c r="AO7" s="35"/>
      <c r="AP7" s="35"/>
      <c r="AQ7" s="35"/>
      <c r="AR7" s="35"/>
      <c r="AS7" s="41"/>
      <c r="AT7" s="33"/>
    </row>
    <row r="8" spans="1:46" ht="17.25" customHeight="1">
      <c r="A8" s="45" t="s">
        <v>470</v>
      </c>
      <c r="B8" s="31">
        <f>(2*VLOOKUP(B2,L2:AS35,MATCH(B3,L2:AS2,0),FALSE)/60)+2*'Truck+Trailers'!$C$29</f>
        <v>5.8666666666666671</v>
      </c>
      <c r="C8" s="31">
        <f>900/B8</f>
        <v>153.40909090909091</v>
      </c>
      <c r="D8" s="31">
        <v>0</v>
      </c>
      <c r="E8" s="31">
        <f>'Truck+Trailers'!B24*'Truck+Trailers'!B23</f>
        <v>424199.7</v>
      </c>
      <c r="F8" s="38">
        <f>(2*VLOOKUP(B2,L2:AS35,MATCH(B3,L2:AS2,0),FALSE))*(26+900/1000)*IF(B1=2020,'Truck+Trailers'!B2,IF(B1=2025,'Truck+Trailers'!C2,IF(B1=2030,'Truck+Trailers'!D2,IF(B1=2035,'Truck+Trailers'!E2,IF(B1=2040,'Truck+Trailers'!F2,IF(B1=2045,'Truck+Trailers'!G2,'Truck+Trailers'!H2))))))</f>
        <v>66.281599999999983</v>
      </c>
      <c r="G8" s="38">
        <f>F8/C8+E8/C8</f>
        <v>2765.5856578370372</v>
      </c>
      <c r="H8" s="31">
        <f>0.02*Transport!E8/Transport!C8</f>
        <v>55.303072000000007</v>
      </c>
      <c r="I8" s="41">
        <f>(2*VLOOKUP(B2,L2:AS35,MATCH(B3,L2:AS2,0),FALSE))*IF(B1=2020,'Truck+Trailers'!B8,IF(B1=2025,'Truck+Trailers'!C8,IF(B1=2030,'Truck+Trailers'!D8,IF(B1=2035,'Truck+Trailers'!E8,IF(B1=2040,'Truck+Trailers'!F8,IF(B1=2045,'Truck+Trailers'!G8,'Truck+Trailers'!H8))))))</f>
        <v>6.72</v>
      </c>
      <c r="J8" s="31">
        <f t="shared" si="0"/>
        <v>4.3804444444444444E-2</v>
      </c>
      <c r="L8" s="53">
        <v>6</v>
      </c>
      <c r="M8" s="35"/>
      <c r="N8" s="35"/>
      <c r="O8" s="35"/>
      <c r="P8" s="35"/>
      <c r="Q8" s="63">
        <v>1.44</v>
      </c>
      <c r="R8" s="42">
        <v>0</v>
      </c>
      <c r="S8" s="63">
        <v>0.62</v>
      </c>
      <c r="T8" s="35"/>
      <c r="U8" s="35"/>
      <c r="V8" s="35"/>
      <c r="W8" s="35"/>
      <c r="X8" s="35"/>
      <c r="Y8" s="35"/>
      <c r="Z8" s="35"/>
      <c r="AA8" s="35"/>
      <c r="AB8" s="35"/>
      <c r="AC8" s="35"/>
      <c r="AD8" s="35"/>
      <c r="AE8" s="35"/>
      <c r="AF8" s="35"/>
      <c r="AG8" s="35"/>
      <c r="AH8" s="35"/>
      <c r="AI8" s="65">
        <v>39.5</v>
      </c>
      <c r="AJ8" s="35"/>
      <c r="AK8" s="35"/>
      <c r="AL8" s="35"/>
      <c r="AM8" s="35"/>
      <c r="AN8" s="35"/>
      <c r="AO8" s="35"/>
      <c r="AP8" s="35"/>
      <c r="AQ8" s="35"/>
      <c r="AR8" s="35"/>
      <c r="AS8" s="41"/>
      <c r="AT8" s="33"/>
    </row>
    <row r="9" spans="1:46" ht="17.25" customHeight="1">
      <c r="A9" s="45" t="s">
        <v>474</v>
      </c>
      <c r="B9" s="31">
        <f>(2*VLOOKUP(B2,L2:AS35,MATCH(B3,L2:AS2,0),FALSE)/60)+2*'Truck+Trailers'!$C$38</f>
        <v>5.8666666666666671</v>
      </c>
      <c r="C9" s="31">
        <f>1000/B9</f>
        <v>170.45454545454544</v>
      </c>
      <c r="D9" s="31">
        <v>0</v>
      </c>
      <c r="E9" s="31">
        <f>'Truck+Trailers'!C33*'Truck+Trailers'!C32</f>
        <v>450000</v>
      </c>
      <c r="F9" s="38">
        <f>(2*VLOOKUP(B2,L2:AS35,MATCH(B3,L2:AS2,0),FALSE))*(26+1000/1000)*IF(B1=2020,'Truck+Trailers'!B2,IF(B1=2025,'Truck+Trailers'!C2,IF(B1=2030,'Truck+Trailers'!D2,IF(B1=2035,'Truck+Trailers'!E2,IF(B1=2040,'Truck+Trailers'!F2,IF(B1=2045,'Truck+Trailers'!G2,'Truck+Trailers'!H2))))))</f>
        <v>66.527999999999992</v>
      </c>
      <c r="G9" s="38">
        <f>F9/C9+E9/C9</f>
        <v>2640.3902976000004</v>
      </c>
      <c r="H9" s="31">
        <f>0.02*Transport!E9/Transport!C9</f>
        <v>52.800000000000004</v>
      </c>
      <c r="I9" s="41">
        <f>(2*VLOOKUP(B2,L2:AS35,MATCH(B3,L2:AS2,0),FALSE))*IF(B1=2020,'Truck+Trailers'!B8,IF(B1=2025,'Truck+Trailers'!C8,IF(B1=2030,'Truck+Trailers'!D8,IF(B1=2035,'Truck+Trailers'!E8,IF(B1=2040,'Truck+Trailers'!F8,IF(B1=2045,'Truck+Trailers'!G8,'Truck+Trailers'!H8))))))</f>
        <v>6.72</v>
      </c>
      <c r="J9" s="31">
        <f t="shared" si="0"/>
        <v>3.9424000000000001E-2</v>
      </c>
      <c r="L9" s="53">
        <v>7</v>
      </c>
      <c r="M9" s="35"/>
      <c r="N9" s="35"/>
      <c r="O9" s="35"/>
      <c r="P9" s="35"/>
      <c r="Q9" s="35"/>
      <c r="R9" s="63">
        <v>0.62</v>
      </c>
      <c r="S9" s="42">
        <v>0</v>
      </c>
      <c r="T9" s="35"/>
      <c r="U9" s="35"/>
      <c r="V9" s="35"/>
      <c r="W9" s="35"/>
      <c r="X9" s="35"/>
      <c r="Y9" s="35"/>
      <c r="Z9" s="35"/>
      <c r="AA9" s="35"/>
      <c r="AB9" s="35"/>
      <c r="AC9" s="35"/>
      <c r="AD9" s="35"/>
      <c r="AE9" s="35"/>
      <c r="AF9" s="35"/>
      <c r="AG9" s="35"/>
      <c r="AH9" s="35"/>
      <c r="AI9" s="35"/>
      <c r="AJ9" s="35"/>
      <c r="AK9" s="35"/>
      <c r="AL9" s="35"/>
      <c r="AM9" s="35"/>
      <c r="AN9" s="65">
        <v>10.48</v>
      </c>
      <c r="AO9" s="35"/>
      <c r="AP9" s="35"/>
      <c r="AQ9" s="35"/>
      <c r="AR9" s="35"/>
      <c r="AS9" s="41"/>
      <c r="AT9" s="33"/>
    </row>
    <row r="10" spans="1:46" ht="17.25" customHeight="1">
      <c r="A10" s="45" t="s">
        <v>478</v>
      </c>
      <c r="B10" s="31">
        <f>(2*VLOOKUP(B2,L2:AS35,MATCH(B3,L2:AS2,0),FALSE)/60)+2*'Truck+Trailers'!$C$47</f>
        <v>5.8666666666666671</v>
      </c>
      <c r="C10" s="31">
        <f>1500/B10</f>
        <v>255.68181818181816</v>
      </c>
      <c r="D10" s="31">
        <v>0</v>
      </c>
      <c r="E10" s="31">
        <f>'Truck+Trailers'!C42*'Truck+Trailers'!C41</f>
        <v>525000</v>
      </c>
      <c r="F10" s="38">
        <f>(2*VLOOKUP(B2,L2:AS35,MATCH(B3,L2:AS2,0),FALSE))*(26+1500/1000)*IF(B1=2020,'Truck+Trailers'!B2,IF(B1=2025,'Truck+Trailers'!C2,IF(B1=2030,'Truck+Trailers'!D2,IF(B1=2035,'Truck+Trailers'!E2,IF(B1=2040,'Truck+Trailers'!F2,IF(B1=2045,'Truck+Trailers'!G2,'Truck+Trailers'!H2))))))</f>
        <v>67.759999999999991</v>
      </c>
      <c r="G10" s="38">
        <f>F10/C10+E10/C10</f>
        <v>2053.5983502222225</v>
      </c>
      <c r="H10" s="31">
        <f>0.02*Transport!E10/Transport!C10</f>
        <v>41.06666666666667</v>
      </c>
      <c r="I10" s="41">
        <f>(2*VLOOKUP(B2,L2:AS35,MATCH(B3,L2:AS2,0),FALSE))*IF(B1=2020,'Truck+Trailers'!B8,IF(B1=2025,'Truck+Trailers'!C8,IF(B1=2030,'Truck+Trailers'!D8,IF(B1=2035,'Truck+Trailers'!E8,IF(B1=2040,'Truck+Trailers'!F8,IF(B1=2045,'Truck+Trailers'!G8,'Truck+Trailers'!H8))))))</f>
        <v>6.72</v>
      </c>
      <c r="J10" s="31">
        <f t="shared" si="0"/>
        <v>2.6282666666666669E-2</v>
      </c>
      <c r="L10" s="53">
        <v>8</v>
      </c>
      <c r="M10" s="65">
        <v>10.3</v>
      </c>
      <c r="N10" s="35"/>
      <c r="O10" s="35"/>
      <c r="P10" s="35"/>
      <c r="Q10" s="35"/>
      <c r="R10" s="35"/>
      <c r="S10" s="35"/>
      <c r="T10" s="42">
        <v>0</v>
      </c>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41"/>
      <c r="AT10" s="33"/>
    </row>
    <row r="11" spans="1:46" ht="17.25" customHeight="1">
      <c r="A11" s="45" t="s">
        <v>483</v>
      </c>
      <c r="B11" s="31">
        <f>(2*VLOOKUP(B2,L2:AS35,MATCH(B3,L2:AS2,0),FALSE)/60)+2*'Truck+Trailers'!$B$56</f>
        <v>7.8666666666666671</v>
      </c>
      <c r="C11" s="31">
        <f>4500/B11</f>
        <v>572.03389830508468</v>
      </c>
      <c r="D11" s="31">
        <f>Conversion!B68/100+IF(B1=2020,0,IF(B1=2025,0.0125,IF(B1=2030,0.00417,IF(B1=2035,0.00417,IF(B1=2040,0.0021,IF(B1=2045,0,0)*B11/100)))))</f>
        <v>7.1500000000000008E-2</v>
      </c>
      <c r="E11" s="31">
        <f>'Truck+Trailers'!B51*'Truck+Trailers'!B50</f>
        <v>859999.5</v>
      </c>
      <c r="F11" s="38">
        <f>(2*VLOOKUP(B2,L2:AS35,MATCH(B3,L2:AS2,0),FALSE))*(26+4500/1000)*IF(B1=2020,'Truck+Trailers'!B2,IF(B1=2025,'Truck+Trailers'!C2,IF(B1=2030,'Truck+Trailers'!D2,IF(B1=2035,'Truck+Trailers'!E2,IF(B1=2040,'Truck+Trailers'!F2,IF(B1=2045,'Truck+Trailers'!G2,'Truck+Trailers'!H2))))))</f>
        <v>75.152000000000001</v>
      </c>
      <c r="G11" s="38">
        <f>(F11/C11)+(E11/C11)+1.3*3</f>
        <v>1507.4379101629631</v>
      </c>
      <c r="H11" s="31">
        <f>0.02*(Transport!E11/Transport!C11)+1.3*0.03</f>
        <v>30.107130666666674</v>
      </c>
      <c r="I11" s="41">
        <f>(2*VLOOKUP(B2,L2:AS35,MATCH(B3,L2:AS2,0),FALSE))*IF(B1=2020,'Truck+Trailers'!B8,IF(B1=2025,'Truck+Trailers'!C8,IF(B1=2030,'Truck+Trailers'!D8,IF(B1=2035,'Truck+Trailers'!E8,IF(B1=2040,'Truck+Trailers'!F8,IF(B1=2045,'Truck+Trailers'!G8,'Truck+Trailers'!H8))))))</f>
        <v>6.72</v>
      </c>
      <c r="J11" s="31">
        <f t="shared" si="0"/>
        <v>1.1747555555555556E-2</v>
      </c>
      <c r="L11" s="53">
        <v>9</v>
      </c>
      <c r="M11" s="63">
        <v>6.3</v>
      </c>
      <c r="N11" s="35"/>
      <c r="O11" s="35"/>
      <c r="P11" s="35"/>
      <c r="Q11" s="35"/>
      <c r="R11" s="35"/>
      <c r="S11" s="35"/>
      <c r="T11" s="35"/>
      <c r="U11" s="42">
        <v>0</v>
      </c>
      <c r="V11" s="65">
        <v>22.9</v>
      </c>
      <c r="W11" s="35"/>
      <c r="X11" s="35"/>
      <c r="Y11" s="63">
        <v>108</v>
      </c>
      <c r="Z11" s="35"/>
      <c r="AA11" s="35"/>
      <c r="AB11" s="35"/>
      <c r="AC11" s="35"/>
      <c r="AD11" s="35"/>
      <c r="AE11" s="35"/>
      <c r="AF11" s="35"/>
      <c r="AG11" s="35"/>
      <c r="AH11" s="35"/>
      <c r="AI11" s="35"/>
      <c r="AJ11" s="35"/>
      <c r="AK11" s="35"/>
      <c r="AL11" s="35"/>
      <c r="AM11" s="35"/>
      <c r="AN11" s="35"/>
      <c r="AO11" s="35"/>
      <c r="AP11" s="35"/>
      <c r="AQ11" s="35"/>
      <c r="AR11" s="35"/>
      <c r="AS11" s="41"/>
      <c r="AT11" s="33"/>
    </row>
    <row r="12" spans="1:46" ht="17.25" customHeight="1">
      <c r="A12" s="45" t="s">
        <v>487</v>
      </c>
      <c r="B12" s="31">
        <f>(2*VLOOKUP(B2,L2:AS35,MATCH(B3,L2:AS2,0),FALSE)/60)+2*'Truck+Trailers'!$B$74</f>
        <v>4.8666666666666671</v>
      </c>
      <c r="C12" s="31">
        <f>27250/B12</f>
        <v>5599.3150684931497</v>
      </c>
      <c r="D12" s="31">
        <v>0</v>
      </c>
      <c r="E12" s="31">
        <f>'Truck+Trailers'!B69*'Truck+Trailers'!B68</f>
        <v>87300.824999999997</v>
      </c>
      <c r="F12" s="38">
        <f>(2*VLOOKUP(B2,L2:AS35,MATCH(B3,L2:AS2,0),FALSE))*(26+27250/1000)*IF(B1=2020,'Truck+Trailers'!B2,IF(B1=2025,'Truck+Trailers'!C2,IF(B1=2030,'Truck+Trailers'!D2,IF(B1=2035,'Truck+Trailers'!E2,IF(B1=2040,'Truck+Trailers'!F2,IF(B1=2045,'Truck+Trailers'!G2,'Truck+Trailers'!H2))))))</f>
        <v>131.208</v>
      </c>
      <c r="G12" s="38">
        <f>F12/C12+E12/C12</f>
        <v>15.614772866055048</v>
      </c>
      <c r="H12" s="31">
        <f>0.02*Transport!E12/Transport!C12</f>
        <v>0.31182680000000007</v>
      </c>
      <c r="I12" s="41">
        <f>(2*VLOOKUP(B2,L2:AS35,MATCH(B3,L2:AS2,0),FALSE))*IF(B1=2020,'Truck+Trailers'!B8,IF(B1=2025,'Truck+Trailers'!C8,IF(B1=2030,'Truck+Trailers'!D8,IF(B1=2035,'Truck+Trailers'!E8,IF(B1=2040,'Truck+Trailers'!F8,IF(B1=2045,'Truck+Trailers'!G8,'Truck+Trailers'!H8))))))</f>
        <v>6.72</v>
      </c>
      <c r="J12" s="31">
        <f t="shared" si="0"/>
        <v>1.2001467889908258E-3</v>
      </c>
      <c r="L12" s="53">
        <v>10</v>
      </c>
      <c r="M12" s="65">
        <v>27.63</v>
      </c>
      <c r="N12" s="65">
        <v>16.2</v>
      </c>
      <c r="O12" s="63">
        <v>100</v>
      </c>
      <c r="P12" s="35"/>
      <c r="Q12" s="35"/>
      <c r="R12" s="35"/>
      <c r="S12" s="35"/>
      <c r="T12" s="35"/>
      <c r="U12" s="65">
        <v>22.9</v>
      </c>
      <c r="V12" s="42">
        <v>0</v>
      </c>
      <c r="W12" s="65">
        <v>16.399999999999999</v>
      </c>
      <c r="X12" s="35"/>
      <c r="Y12" s="35"/>
      <c r="Z12" s="35"/>
      <c r="AA12" s="35"/>
      <c r="AB12" s="35"/>
      <c r="AC12" s="35"/>
      <c r="AD12" s="35"/>
      <c r="AE12" s="35"/>
      <c r="AF12" s="35"/>
      <c r="AG12" s="35"/>
      <c r="AH12" s="35"/>
      <c r="AI12" s="35"/>
      <c r="AJ12" s="35"/>
      <c r="AK12" s="35"/>
      <c r="AL12" s="35"/>
      <c r="AM12" s="35"/>
      <c r="AN12" s="35"/>
      <c r="AO12" s="35"/>
      <c r="AP12" s="35"/>
      <c r="AQ12" s="35"/>
      <c r="AR12" s="35"/>
      <c r="AS12" s="41"/>
      <c r="AT12" s="33"/>
    </row>
    <row r="13" spans="1:46" ht="17.25" customHeight="1">
      <c r="A13" s="45" t="s">
        <v>491</v>
      </c>
      <c r="B13" s="31">
        <f>(2*VLOOKUP(B2,L2:AS35,MATCH(B3,L2:AS2,0),FALSE)/60)+2*'Truck+Trailers'!$B$65</f>
        <v>4.8666666666666671</v>
      </c>
      <c r="C13" s="31">
        <f>27250/B13</f>
        <v>5599.3150684931497</v>
      </c>
      <c r="D13" s="31">
        <v>0</v>
      </c>
      <c r="E13" s="31">
        <f>'Truck+Trailers'!B60*'Truck+Trailers'!B59</f>
        <v>218250.69999999998</v>
      </c>
      <c r="F13" s="38">
        <f>(2*VLOOKUP(B2,L2:AS35,MATCH(B3,L2:AS2,0),FALSE))*(26+27250/1000)*IF(B1=2020,'Truck+Trailers'!B2,IF(B1=2025,'Truck+Trailers'!C2,IF(B1=2030,'Truck+Trailers'!D2,IF(B1=2035,'Truck+Trailers'!E2,IF(B1=2040,'Truck+Trailers'!F2,IF(B1=2045,'Truck+Trailers'!G2,'Truck+Trailers'!H2))))))</f>
        <v>131.208</v>
      </c>
      <c r="G13" s="38">
        <f>F13/C13+E13/C13</f>
        <v>39.001539532721715</v>
      </c>
      <c r="H13" s="31">
        <f>0.02*Transport!E13/Transport!C13</f>
        <v>0.77956213333333346</v>
      </c>
      <c r="I13" s="41">
        <f>(2*VLOOKUP(B2,L2:AS35,MATCH(B3,L2:AS2,0),FALSE))*IF(B1=2020,'Truck+Trailers'!B8,IF(B1=2025,'Truck+Trailers'!C8,IF(B1=2030,'Truck+Trailers'!D8,IF(B1=2035,'Truck+Trailers'!E8,IF(B1=2040,'Truck+Trailers'!F8,IF(B1=2045,'Truck+Trailers'!G8,'Truck+Trailers'!H8))))))</f>
        <v>6.72</v>
      </c>
      <c r="J13" s="31">
        <f t="shared" si="0"/>
        <v>1.2001467889908258E-3</v>
      </c>
      <c r="L13" s="53">
        <v>11</v>
      </c>
      <c r="M13" s="35"/>
      <c r="N13" s="63">
        <v>25.4</v>
      </c>
      <c r="O13" s="35"/>
      <c r="P13" s="35"/>
      <c r="Q13" s="35"/>
      <c r="R13" s="35"/>
      <c r="S13" s="35"/>
      <c r="T13" s="35"/>
      <c r="U13" s="35"/>
      <c r="V13" s="65">
        <v>16.399999999999999</v>
      </c>
      <c r="W13" s="42">
        <v>0</v>
      </c>
      <c r="X13" s="35"/>
      <c r="Y13" s="35"/>
      <c r="Z13" s="63">
        <v>19.899999999999999</v>
      </c>
      <c r="AA13" s="35"/>
      <c r="AB13" s="35"/>
      <c r="AC13" s="35"/>
      <c r="AD13" s="35"/>
      <c r="AE13" s="35"/>
      <c r="AF13" s="35"/>
      <c r="AG13" s="35"/>
      <c r="AH13" s="35"/>
      <c r="AI13" s="35"/>
      <c r="AJ13" s="35"/>
      <c r="AK13" s="35"/>
      <c r="AL13" s="35"/>
      <c r="AM13" s="35"/>
      <c r="AN13" s="35"/>
      <c r="AO13" s="35"/>
      <c r="AP13" s="35"/>
      <c r="AQ13" s="35"/>
      <c r="AR13" s="35"/>
      <c r="AS13" s="41"/>
      <c r="AT13" s="33"/>
    </row>
    <row r="14" spans="1:46" ht="17.25" customHeight="1" thickBot="1">
      <c r="A14" s="46" t="s">
        <v>495</v>
      </c>
      <c r="B14" s="34">
        <f>(2*VLOOKUP(B2,L2:AS35,MATCH(B3,L2:AS2,0),FALSE)/60)+2*'Truck+Trailers'!$B$83</f>
        <v>3.8666666666666667</v>
      </c>
      <c r="C14" s="34">
        <f>42/B14</f>
        <v>10.862068965517242</v>
      </c>
      <c r="D14" s="34">
        <v>0</v>
      </c>
      <c r="E14" s="34">
        <f>42*'Truck+Trailers'!B77</f>
        <v>11977.181999999999</v>
      </c>
      <c r="F14" s="39">
        <f>(2*VLOOKUP(B2,L2:AS35,MATCH(B3,L2:AS2,0),FALSE))*(26+42000/1000)*IF(B1=2020,'Truck+Trailers'!B2,IF(B1=2025,'Truck+Trailers'!C2,IF(B1=2030,'Truck+Trailers'!D2,IF(B1=2035,'Truck+Trailers'!E2,IF(B1=2040,'Truck+Trailers'!F2,IF(B1=2045,'Truck+Trailers'!G2,'Truck+Trailers'!H2))))))</f>
        <v>167.55199999999999</v>
      </c>
      <c r="G14" s="39">
        <f>F14/C14+E14/C14</f>
        <v>1118.0866222222221</v>
      </c>
      <c r="H14" s="34">
        <f>0.02*Transport!E14/Transport!C14</f>
        <v>22.053223999999997</v>
      </c>
      <c r="I14" s="181">
        <f>(2*VLOOKUP(B2,L2:AS35,MATCH(B3,L2:AS2,0),FALSE))*IF(B1=2020,'Truck+Trailers'!B8,IF(B1=2025,'Truck+Trailers'!C8,IF(B1=2030,'Truck+Trailers'!D8,IF(B1=2035,'Truck+Trailers'!E8,IF(B1=2040,'Truck+Trailers'!F8,IF(B1=2045,'Truck+Trailers'!G8,'Truck+Trailers'!H8))))))</f>
        <v>6.72</v>
      </c>
      <c r="J14" s="34">
        <f t="shared" si="0"/>
        <v>0.61866666666666659</v>
      </c>
      <c r="L14" s="53">
        <v>12</v>
      </c>
      <c r="M14" s="35"/>
      <c r="N14" s="65">
        <v>118</v>
      </c>
      <c r="O14" s="35"/>
      <c r="P14" s="35"/>
      <c r="Q14" s="35"/>
      <c r="R14" s="35"/>
      <c r="S14" s="35"/>
      <c r="T14" s="35"/>
      <c r="U14" s="35"/>
      <c r="V14" s="35"/>
      <c r="W14" s="35"/>
      <c r="X14" s="42">
        <v>0</v>
      </c>
      <c r="Y14" s="65">
        <v>18</v>
      </c>
      <c r="Z14" s="63">
        <v>120</v>
      </c>
      <c r="AA14" s="35"/>
      <c r="AB14" s="35"/>
      <c r="AC14" s="35"/>
      <c r="AD14" s="35"/>
      <c r="AE14" s="35"/>
      <c r="AF14" s="35"/>
      <c r="AG14" s="35"/>
      <c r="AH14" s="35"/>
      <c r="AI14" s="35"/>
      <c r="AJ14" s="35"/>
      <c r="AK14" s="35"/>
      <c r="AL14" s="63">
        <v>160</v>
      </c>
      <c r="AM14" s="35"/>
      <c r="AN14" s="35"/>
      <c r="AO14" s="35"/>
      <c r="AP14" s="35"/>
      <c r="AQ14" s="35"/>
      <c r="AR14" s="35"/>
      <c r="AS14" s="41"/>
      <c r="AT14" s="33"/>
    </row>
    <row r="15" spans="1:46" ht="14.65" thickBot="1">
      <c r="L15" s="53">
        <v>13</v>
      </c>
      <c r="M15" s="35"/>
      <c r="N15" s="35"/>
      <c r="O15" s="35"/>
      <c r="P15" s="35"/>
      <c r="Q15" s="35"/>
      <c r="R15" s="35"/>
      <c r="S15" s="35"/>
      <c r="T15" s="35"/>
      <c r="U15" s="63">
        <v>108</v>
      </c>
      <c r="V15" s="35"/>
      <c r="W15" s="35"/>
      <c r="X15" s="65">
        <v>18</v>
      </c>
      <c r="Y15" s="42">
        <v>0</v>
      </c>
      <c r="Z15" s="63">
        <v>116</v>
      </c>
      <c r="AA15" s="35"/>
      <c r="AB15" s="35"/>
      <c r="AC15" s="35"/>
      <c r="AD15" s="35"/>
      <c r="AE15" s="35"/>
      <c r="AF15" s="35"/>
      <c r="AG15" s="35"/>
      <c r="AH15" s="35"/>
      <c r="AI15" s="35"/>
      <c r="AJ15" s="35"/>
      <c r="AK15" s="35"/>
      <c r="AL15" s="35"/>
      <c r="AM15" s="35"/>
      <c r="AN15" s="35"/>
      <c r="AO15" s="35"/>
      <c r="AP15" s="35"/>
      <c r="AQ15" s="35"/>
      <c r="AR15" s="35"/>
      <c r="AS15" s="41"/>
      <c r="AT15" s="33"/>
    </row>
    <row r="16" spans="1:46" ht="14.65" thickBot="1">
      <c r="A16" s="24" t="s">
        <v>549</v>
      </c>
      <c r="L16" s="53">
        <v>14</v>
      </c>
      <c r="M16" s="35"/>
      <c r="N16" s="65">
        <v>23.7</v>
      </c>
      <c r="O16" s="35"/>
      <c r="P16" s="35"/>
      <c r="Q16" s="35"/>
      <c r="R16" s="35"/>
      <c r="S16" s="35"/>
      <c r="T16" s="35"/>
      <c r="U16" s="35"/>
      <c r="V16" s="35"/>
      <c r="W16" s="63">
        <v>19.899999999999999</v>
      </c>
      <c r="X16" s="63">
        <v>120</v>
      </c>
      <c r="Y16" s="63">
        <v>116</v>
      </c>
      <c r="Z16" s="42">
        <v>0</v>
      </c>
      <c r="AA16" s="63">
        <v>72.599999999999994</v>
      </c>
      <c r="AB16" s="35"/>
      <c r="AC16" s="35"/>
      <c r="AD16" s="35"/>
      <c r="AE16" s="35"/>
      <c r="AF16" s="35"/>
      <c r="AG16" s="35"/>
      <c r="AH16" s="35"/>
      <c r="AI16" s="35"/>
      <c r="AJ16" s="35"/>
      <c r="AK16" s="35"/>
      <c r="AL16" s="35"/>
      <c r="AM16" s="35"/>
      <c r="AN16" s="35"/>
      <c r="AO16" s="35"/>
      <c r="AP16" s="35"/>
      <c r="AQ16" s="35"/>
      <c r="AR16" s="35"/>
      <c r="AS16" s="41"/>
      <c r="AT16" s="33"/>
    </row>
    <row r="17" spans="1:46" ht="27.6" customHeight="1" thickBot="1">
      <c r="A17" s="48" t="s">
        <v>539</v>
      </c>
      <c r="B17" s="30" t="s">
        <v>550</v>
      </c>
      <c r="C17" s="30" t="s">
        <v>551</v>
      </c>
      <c r="D17" s="30" t="s">
        <v>552</v>
      </c>
      <c r="E17" s="30" t="s">
        <v>553</v>
      </c>
      <c r="F17" s="28" t="s">
        <v>554</v>
      </c>
      <c r="G17" s="202">
        <f>IF(B1=2020,'Truck+Trailers'!B8,IF(B1=2025,'Truck+Trailers'!C8,IF(B1=2030,'Truck+Trailers'!D8,IF(B1=2035,'Truck+Trailers'!E8,IF(B1=2040,'Truck+Trailers'!F8,IF(B1=2045,'Truck+Trailers'!G8,'Truck+Trailers'!H8))))))</f>
        <v>0.06</v>
      </c>
      <c r="L17" s="53">
        <v>15</v>
      </c>
      <c r="M17" s="35"/>
      <c r="N17" s="65">
        <v>40</v>
      </c>
      <c r="O17" s="35"/>
      <c r="P17" s="35"/>
      <c r="Q17" s="35"/>
      <c r="R17" s="35"/>
      <c r="S17" s="35"/>
      <c r="T17" s="35"/>
      <c r="U17" s="35"/>
      <c r="V17" s="35"/>
      <c r="W17" s="35"/>
      <c r="X17" s="35"/>
      <c r="Y17" s="35"/>
      <c r="Z17" s="63">
        <v>72.599999999999994</v>
      </c>
      <c r="AA17" s="42">
        <v>0</v>
      </c>
      <c r="AB17" s="63">
        <v>15.8</v>
      </c>
      <c r="AC17" s="35"/>
      <c r="AD17" s="35"/>
      <c r="AE17" s="35"/>
      <c r="AF17" s="35"/>
      <c r="AG17" s="35"/>
      <c r="AH17" s="35"/>
      <c r="AI17" s="35"/>
      <c r="AJ17" s="35"/>
      <c r="AK17" s="35"/>
      <c r="AL17" s="63">
        <v>133</v>
      </c>
      <c r="AM17" s="35"/>
      <c r="AN17" s="35"/>
      <c r="AO17" s="35"/>
      <c r="AP17" s="35"/>
      <c r="AQ17" s="35"/>
      <c r="AR17" s="35"/>
      <c r="AS17" s="41"/>
      <c r="AT17" s="33"/>
    </row>
    <row r="18" spans="1:46">
      <c r="A18" s="37" t="s">
        <v>555</v>
      </c>
      <c r="B18" s="25">
        <f>VLOOKUP(B2,L2:AS35,MATCH(B3,L2:AS2,0),FALSE)*'Pipeline&amp;TL'!$B$2</f>
        <v>470.28302719999999</v>
      </c>
      <c r="C18" s="5">
        <f>B18*IF(B1=2020,0.04,IF(B1=2025,0.04,IF(B1=2030,0.02,IF(B1=2035,0.02,IF(B1=2040,0.02,IF(B1=2045,0.015,0.015))))))</f>
        <v>18.811321088</v>
      </c>
      <c r="D18" s="182">
        <f>VLOOKUP(B2,L2:AS35,MATCH(B3,L2:AS2,0),FALSE)*IF(B1=2020,'Pipeline&amp;TL'!B4,IF(B1=2025,'Pipeline&amp;TL'!C4,IF(B1=2030,'Pipeline&amp;TL'!D4,IF(B1=2035,'Pipeline&amp;TL'!E4,IF(B1=2040,'Pipeline&amp;TL'!F4,IF(B1=2045,'Pipeline&amp;TL'!G4,'Pipeline&amp;TL'!H4))))))</f>
        <v>0.12264</v>
      </c>
      <c r="E18" s="5">
        <f>Transport!D18*39.4/(100*1000)</f>
        <v>4.8320159999999996E-5</v>
      </c>
      <c r="F18" s="31">
        <f>E18*1000</f>
        <v>4.8320159999999994E-2</v>
      </c>
      <c r="L18" s="53">
        <v>16</v>
      </c>
      <c r="M18" s="35"/>
      <c r="N18" s="63">
        <v>47.8</v>
      </c>
      <c r="O18" s="35"/>
      <c r="P18" s="35"/>
      <c r="Q18" s="35"/>
      <c r="R18" s="35"/>
      <c r="S18" s="35"/>
      <c r="T18" s="35"/>
      <c r="U18" s="35"/>
      <c r="V18" s="35"/>
      <c r="W18" s="35"/>
      <c r="X18" s="35"/>
      <c r="Y18" s="35"/>
      <c r="Z18" s="35"/>
      <c r="AA18" s="63">
        <v>15.8</v>
      </c>
      <c r="AB18" s="42">
        <v>0</v>
      </c>
      <c r="AC18" s="65">
        <v>18</v>
      </c>
      <c r="AD18" s="35"/>
      <c r="AE18" s="63">
        <v>32.799999999999997</v>
      </c>
      <c r="AF18" s="35"/>
      <c r="AG18" s="35"/>
      <c r="AH18" s="35"/>
      <c r="AI18" s="35"/>
      <c r="AJ18" s="35"/>
      <c r="AK18" s="35"/>
      <c r="AL18" s="35"/>
      <c r="AM18" s="35"/>
      <c r="AN18" s="35"/>
      <c r="AO18" s="35"/>
      <c r="AP18" s="35"/>
      <c r="AQ18" s="35"/>
      <c r="AR18" s="35"/>
      <c r="AS18" s="41"/>
      <c r="AT18" s="33"/>
    </row>
    <row r="19" spans="1:46">
      <c r="A19" s="38" t="s">
        <v>556</v>
      </c>
      <c r="B19" s="49">
        <f>VLOOKUP(B2,L2:AS35,MATCH(B3,L2:AS2,0),FALSE)*'Pipeline&amp;TL'!$B$12</f>
        <v>439.64331347999996</v>
      </c>
      <c r="C19" s="3">
        <f>B19*IF(B1=2020,0.04,IF(B1=2025,0.04,IF(B1=2030,0.02,IF(B1=2035,0.02,IF(B1=2040,0.02,IF(B1=2045,0.015,0.015))))))</f>
        <v>17.585732539199999</v>
      </c>
      <c r="D19" s="1">
        <f>VLOOKUP(B2,L2:AS35,MATCH(B3,L2:AS2,0),FALSE)*IF(B1=2020,'Pipeline&amp;TL'!B14,IF(B1=2025,'Pipeline&amp;TL'!C14,IF(B1=2030,'Pipeline&amp;TL'!D14,IF(B1=2035,'Pipeline&amp;TL'!E14,IF(B1=2040,'Pipeline&amp;TL'!F14,IF(B1=2045,'Pipeline&amp;TL'!G14,'Pipeline&amp;TL'!H14))))))</f>
        <v>0.11759999999999997</v>
      </c>
      <c r="E19" s="3">
        <f>Transport!D19*39.4/(100*1000)</f>
        <v>4.6334399999999981E-5</v>
      </c>
      <c r="F19" s="31">
        <f>E19*1000</f>
        <v>4.6334399999999984E-2</v>
      </c>
      <c r="L19" s="53">
        <v>17</v>
      </c>
      <c r="M19" s="35"/>
      <c r="N19" s="35"/>
      <c r="O19" s="35"/>
      <c r="P19" s="35"/>
      <c r="Q19" s="35"/>
      <c r="R19" s="35"/>
      <c r="S19" s="35"/>
      <c r="T19" s="35"/>
      <c r="U19" s="35"/>
      <c r="V19" s="35"/>
      <c r="W19" s="35"/>
      <c r="X19" s="35"/>
      <c r="Y19" s="35"/>
      <c r="Z19" s="35"/>
      <c r="AA19" s="35"/>
      <c r="AB19" s="65">
        <v>18</v>
      </c>
      <c r="AC19" s="42">
        <v>0</v>
      </c>
      <c r="AD19" s="65">
        <v>0.05</v>
      </c>
      <c r="AE19" s="35"/>
      <c r="AF19" s="35"/>
      <c r="AG19" s="35"/>
      <c r="AH19" s="35"/>
      <c r="AI19" s="65">
        <v>20.8</v>
      </c>
      <c r="AJ19" s="35"/>
      <c r="AK19" s="35"/>
      <c r="AL19" s="35"/>
      <c r="AM19" s="35"/>
      <c r="AN19" s="35"/>
      <c r="AO19" s="35"/>
      <c r="AP19" s="35"/>
      <c r="AQ19" s="35"/>
      <c r="AR19" s="35"/>
      <c r="AS19" s="41"/>
      <c r="AT19" s="33"/>
    </row>
    <row r="20" spans="1:46" ht="14.65" thickBot="1">
      <c r="A20" s="39" t="s">
        <v>31</v>
      </c>
      <c r="B20" s="26">
        <f>VLOOKUP(B2,L2:AS35,MATCH(B3,L2:AS2,0),FALSE)*'Pipeline&amp;TL'!$B$22</f>
        <v>3.3188399999999998</v>
      </c>
      <c r="C20" s="4">
        <f>B20*0.01</f>
        <v>3.31884E-2</v>
      </c>
      <c r="D20" s="183">
        <v>0</v>
      </c>
      <c r="E20" s="4">
        <v>0</v>
      </c>
      <c r="F20" s="4">
        <v>0</v>
      </c>
      <c r="L20" s="53">
        <v>18</v>
      </c>
      <c r="M20" s="35"/>
      <c r="N20" s="63">
        <v>47.9</v>
      </c>
      <c r="O20" s="35"/>
      <c r="P20" s="35"/>
      <c r="Q20" s="35"/>
      <c r="R20" s="35"/>
      <c r="S20" s="35"/>
      <c r="T20" s="35"/>
      <c r="U20" s="35"/>
      <c r="V20" s="35"/>
      <c r="W20" s="35"/>
      <c r="X20" s="35"/>
      <c r="Y20" s="35"/>
      <c r="Z20" s="35"/>
      <c r="AA20" s="35"/>
      <c r="AB20" s="35"/>
      <c r="AC20" s="65">
        <v>0.05</v>
      </c>
      <c r="AD20" s="42">
        <v>0</v>
      </c>
      <c r="AE20" s="63">
        <v>15.9</v>
      </c>
      <c r="AF20" s="35"/>
      <c r="AG20" s="35"/>
      <c r="AH20" s="35"/>
      <c r="AI20" s="63">
        <v>23.2</v>
      </c>
      <c r="AJ20" s="35"/>
      <c r="AK20" s="35"/>
      <c r="AL20" s="35"/>
      <c r="AM20" s="35"/>
      <c r="AN20" s="35"/>
      <c r="AO20" s="35"/>
      <c r="AP20" s="35"/>
      <c r="AQ20" s="35"/>
      <c r="AR20" s="35"/>
      <c r="AS20" s="41"/>
      <c r="AT20" s="33"/>
    </row>
    <row r="21" spans="1:46" ht="14.65" thickBot="1">
      <c r="L21" s="53">
        <v>19</v>
      </c>
      <c r="M21" s="35"/>
      <c r="N21" s="65">
        <v>65.55</v>
      </c>
      <c r="O21" s="35"/>
      <c r="P21" s="35"/>
      <c r="Q21" s="35"/>
      <c r="R21" s="35"/>
      <c r="S21" s="35"/>
      <c r="T21" s="35"/>
      <c r="U21" s="35"/>
      <c r="V21" s="35"/>
      <c r="W21" s="35"/>
      <c r="X21" s="35"/>
      <c r="Y21" s="35"/>
      <c r="Z21" s="35"/>
      <c r="AA21" s="35"/>
      <c r="AB21" s="63">
        <v>32.799999999999997</v>
      </c>
      <c r="AC21" s="35"/>
      <c r="AD21" s="63">
        <v>15.9</v>
      </c>
      <c r="AE21" s="42">
        <v>0</v>
      </c>
      <c r="AF21" s="63">
        <v>6.72</v>
      </c>
      <c r="AG21" s="35"/>
      <c r="AH21" s="35"/>
      <c r="AI21" s="65">
        <v>7.19</v>
      </c>
      <c r="AJ21" s="35"/>
      <c r="AK21" s="63">
        <v>32.299999999999997</v>
      </c>
      <c r="AL21" s="35"/>
      <c r="AM21" s="35"/>
      <c r="AN21" s="35"/>
      <c r="AO21" s="35"/>
      <c r="AP21" s="35"/>
      <c r="AQ21" s="35"/>
      <c r="AR21" s="35"/>
      <c r="AS21" s="41"/>
      <c r="AT21" s="33"/>
    </row>
    <row r="22" spans="1:46" ht="25.9" customHeight="1" thickBot="1">
      <c r="A22" s="24" t="s">
        <v>511</v>
      </c>
      <c r="G22" t="s">
        <v>557</v>
      </c>
      <c r="I22" t="s">
        <v>557</v>
      </c>
      <c r="L22" s="53">
        <v>20</v>
      </c>
      <c r="M22" s="35"/>
      <c r="N22" s="35"/>
      <c r="O22" s="35"/>
      <c r="P22" s="35"/>
      <c r="Q22" s="35"/>
      <c r="R22" s="35"/>
      <c r="S22" s="35"/>
      <c r="T22" s="35"/>
      <c r="U22" s="35"/>
      <c r="V22" s="35"/>
      <c r="W22" s="35"/>
      <c r="X22" s="35"/>
      <c r="Y22" s="35"/>
      <c r="Z22" s="35"/>
      <c r="AA22" s="35"/>
      <c r="AB22" s="35"/>
      <c r="AC22" s="35"/>
      <c r="AD22" s="35"/>
      <c r="AE22" s="63">
        <v>6.72</v>
      </c>
      <c r="AF22" s="42">
        <v>0</v>
      </c>
      <c r="AG22" s="63">
        <v>3.59</v>
      </c>
      <c r="AH22" s="35"/>
      <c r="AI22" s="65">
        <v>3</v>
      </c>
      <c r="AJ22" s="35"/>
      <c r="AK22" s="35"/>
      <c r="AL22" s="35"/>
      <c r="AM22" s="35"/>
      <c r="AN22" s="35"/>
      <c r="AO22" s="35"/>
      <c r="AP22" s="35"/>
      <c r="AQ22" s="35"/>
      <c r="AR22" s="35"/>
      <c r="AS22" s="41"/>
      <c r="AT22" s="33"/>
    </row>
    <row r="23" spans="1:46" ht="28.9" customHeight="1" thickBot="1">
      <c r="A23" s="27" t="s">
        <v>539</v>
      </c>
      <c r="B23" s="28" t="s">
        <v>558</v>
      </c>
      <c r="C23" s="30" t="s">
        <v>559</v>
      </c>
      <c r="D23" s="68"/>
      <c r="F23">
        <v>0.06</v>
      </c>
      <c r="G23">
        <v>5.5199999999999999E-2</v>
      </c>
      <c r="H23">
        <v>5.3400000000000003E-2</v>
      </c>
      <c r="I23">
        <v>5.16E-2</v>
      </c>
      <c r="L23" s="53">
        <v>21</v>
      </c>
      <c r="M23" s="35"/>
      <c r="N23" s="35"/>
      <c r="O23" s="35"/>
      <c r="P23" s="35"/>
      <c r="Q23" s="35"/>
      <c r="R23" s="35"/>
      <c r="S23" s="35"/>
      <c r="T23" s="35"/>
      <c r="U23" s="35"/>
      <c r="V23" s="35"/>
      <c r="W23" s="35"/>
      <c r="X23" s="35"/>
      <c r="Y23" s="35"/>
      <c r="Z23" s="35"/>
      <c r="AA23" s="35"/>
      <c r="AB23" s="35"/>
      <c r="AC23" s="35"/>
      <c r="AD23" s="35"/>
      <c r="AE23" s="35"/>
      <c r="AF23" s="63">
        <v>3.59</v>
      </c>
      <c r="AG23" s="42">
        <v>0</v>
      </c>
      <c r="AH23" s="65">
        <v>1.67</v>
      </c>
      <c r="AI23" s="35"/>
      <c r="AJ23" s="63">
        <v>62.7</v>
      </c>
      <c r="AK23" s="35"/>
      <c r="AL23" s="35"/>
      <c r="AM23" s="35"/>
      <c r="AN23" s="35"/>
      <c r="AO23" s="35"/>
      <c r="AP23" s="35"/>
      <c r="AQ23" s="63">
        <v>62.1</v>
      </c>
      <c r="AR23" s="35"/>
      <c r="AS23" s="41"/>
      <c r="AT23" s="33"/>
    </row>
    <row r="24" spans="1:46" ht="14.65" thickBot="1">
      <c r="A24" s="47" t="s">
        <v>560</v>
      </c>
      <c r="B24" s="17">
        <f>VLOOKUP(B2,L2:AS35,MATCH(B3,L2:AS2,0),FALSE)*'Pipeline&amp;TL'!B32</f>
        <v>3.3600000000000004E-4</v>
      </c>
      <c r="C24" s="17">
        <f>VLOOKUP(B2,L2:AS35,MATCH(B3,L2:AS2,0),FALSE)*'Pipeline&amp;TL'!B33</f>
        <v>1.4703360000000001E-6</v>
      </c>
      <c r="D24" s="1"/>
      <c r="L24" s="53">
        <v>22</v>
      </c>
      <c r="M24" s="35"/>
      <c r="N24" s="35"/>
      <c r="O24" s="35"/>
      <c r="P24" s="35"/>
      <c r="Q24" s="35"/>
      <c r="R24" s="35"/>
      <c r="S24" s="35"/>
      <c r="T24" s="35"/>
      <c r="U24" s="35"/>
      <c r="V24" s="35"/>
      <c r="W24" s="35"/>
      <c r="X24" s="35"/>
      <c r="Y24" s="35"/>
      <c r="Z24" s="35"/>
      <c r="AA24" s="35"/>
      <c r="AB24" s="35"/>
      <c r="AC24" s="35"/>
      <c r="AD24" s="35"/>
      <c r="AE24" s="35"/>
      <c r="AF24" s="35"/>
      <c r="AG24" s="65">
        <v>1.67</v>
      </c>
      <c r="AH24" s="42">
        <v>0</v>
      </c>
      <c r="AI24" s="65">
        <v>0.25</v>
      </c>
      <c r="AJ24" s="35"/>
      <c r="AK24" s="35"/>
      <c r="AL24" s="35"/>
      <c r="AM24" s="35"/>
      <c r="AN24" s="35"/>
      <c r="AO24" s="35"/>
      <c r="AP24" s="35"/>
      <c r="AQ24" s="35"/>
      <c r="AR24" s="35"/>
      <c r="AS24" s="41"/>
      <c r="AT24" s="33"/>
    </row>
    <row r="25" spans="1:46" ht="14.65" thickBot="1">
      <c r="A25" s="39"/>
      <c r="B25" s="1"/>
      <c r="C25" s="1"/>
      <c r="D25" s="1"/>
      <c r="L25" s="53">
        <v>23</v>
      </c>
      <c r="M25" s="35"/>
      <c r="N25" s="35"/>
      <c r="O25" s="35"/>
      <c r="P25" s="35"/>
      <c r="Q25" s="35"/>
      <c r="R25" s="65">
        <v>39.5</v>
      </c>
      <c r="S25" s="35"/>
      <c r="T25" s="35"/>
      <c r="U25" s="35"/>
      <c r="V25" s="35"/>
      <c r="W25" s="35"/>
      <c r="X25" s="35"/>
      <c r="Y25" s="35"/>
      <c r="Z25" s="35"/>
      <c r="AA25" s="35"/>
      <c r="AB25" s="35"/>
      <c r="AC25" s="65">
        <v>20.8</v>
      </c>
      <c r="AD25" s="63">
        <v>23.2</v>
      </c>
      <c r="AE25" s="65">
        <v>7.19</v>
      </c>
      <c r="AF25" s="65">
        <v>3</v>
      </c>
      <c r="AG25" s="35"/>
      <c r="AH25" s="65">
        <v>0.25</v>
      </c>
      <c r="AI25" s="42">
        <v>0</v>
      </c>
      <c r="AJ25" s="65">
        <v>61</v>
      </c>
      <c r="AK25" s="65">
        <v>25</v>
      </c>
      <c r="AL25" s="64">
        <v>39.1</v>
      </c>
      <c r="AM25" s="35"/>
      <c r="AN25" s="63">
        <v>40.299999999999997</v>
      </c>
      <c r="AO25" s="35"/>
      <c r="AP25" s="35"/>
      <c r="AQ25" s="65">
        <v>59.32</v>
      </c>
      <c r="AR25" s="35"/>
      <c r="AS25" s="41"/>
      <c r="AT25" s="33"/>
    </row>
    <row r="26" spans="1:46" ht="25.9" customHeight="1" thickBot="1">
      <c r="A26" s="24" t="s">
        <v>561</v>
      </c>
      <c r="L26" s="53">
        <v>24</v>
      </c>
      <c r="M26" s="35"/>
      <c r="N26" s="35"/>
      <c r="O26" s="35"/>
      <c r="P26" s="35"/>
      <c r="Q26" s="35"/>
      <c r="R26" s="35"/>
      <c r="S26" s="35"/>
      <c r="T26" s="35"/>
      <c r="U26" s="35"/>
      <c r="V26" s="35"/>
      <c r="W26" s="35"/>
      <c r="X26" s="35"/>
      <c r="Y26" s="35"/>
      <c r="Z26" s="35"/>
      <c r="AA26" s="35"/>
      <c r="AB26" s="35"/>
      <c r="AC26" s="35"/>
      <c r="AD26" s="35"/>
      <c r="AE26" s="35"/>
      <c r="AF26" s="35"/>
      <c r="AG26" s="63">
        <v>62.7</v>
      </c>
      <c r="AH26" s="35"/>
      <c r="AI26" s="65">
        <v>61</v>
      </c>
      <c r="AJ26" s="42">
        <v>0</v>
      </c>
      <c r="AK26" s="35"/>
      <c r="AL26" s="35"/>
      <c r="AM26" s="64">
        <v>38.5</v>
      </c>
      <c r="AN26" s="35"/>
      <c r="AO26" s="35"/>
      <c r="AP26" s="35"/>
      <c r="AQ26" s="63">
        <v>160</v>
      </c>
      <c r="AR26" s="35"/>
      <c r="AS26" s="41"/>
      <c r="AT26" s="33"/>
    </row>
    <row r="27" spans="1:46" ht="27" customHeight="1" thickBot="1">
      <c r="A27" s="27" t="s">
        <v>539</v>
      </c>
      <c r="B27" s="30" t="s">
        <v>562</v>
      </c>
      <c r="C27" s="30" t="s">
        <v>563</v>
      </c>
      <c r="D27" s="30" t="s">
        <v>564</v>
      </c>
      <c r="F27">
        <v>165.77129700690699</v>
      </c>
      <c r="L27" s="53">
        <v>25</v>
      </c>
      <c r="M27" s="35"/>
      <c r="N27" s="35"/>
      <c r="O27" s="35"/>
      <c r="P27" s="35"/>
      <c r="Q27" s="35"/>
      <c r="R27" s="35"/>
      <c r="S27" s="35"/>
      <c r="T27" s="35"/>
      <c r="U27" s="35"/>
      <c r="V27" s="35"/>
      <c r="W27" s="35"/>
      <c r="X27" s="35"/>
      <c r="Y27" s="35"/>
      <c r="Z27" s="35"/>
      <c r="AA27" s="35"/>
      <c r="AB27" s="35"/>
      <c r="AC27" s="35"/>
      <c r="AD27" s="35"/>
      <c r="AE27" s="63">
        <v>32.299999999999997</v>
      </c>
      <c r="AF27" s="35"/>
      <c r="AG27" s="35"/>
      <c r="AH27" s="35"/>
      <c r="AI27" s="65">
        <v>25</v>
      </c>
      <c r="AJ27" s="35"/>
      <c r="AK27" s="42">
        <v>0</v>
      </c>
      <c r="AL27" s="65">
        <v>14.5</v>
      </c>
      <c r="AM27" s="35"/>
      <c r="AN27" s="35"/>
      <c r="AO27" s="35"/>
      <c r="AP27" s="35"/>
      <c r="AQ27" s="35"/>
      <c r="AR27" s="35"/>
      <c r="AS27" s="41"/>
      <c r="AT27" s="33"/>
    </row>
    <row r="28" spans="1:46" ht="14.65" thickBot="1">
      <c r="A28" s="47" t="s">
        <v>565</v>
      </c>
      <c r="B28" s="17">
        <f>VLOOKUP(B2,L2:AS35,MATCH(B3,L2:AS2,0),FALSE)*'Pipeline&amp;TL'!B38</f>
        <v>13.664</v>
      </c>
      <c r="C28" s="21">
        <f>0.01*B28</f>
        <v>0.13664000000000001</v>
      </c>
      <c r="D28" s="17">
        <f>VLOOKUP(B2,L2:AS35,MATCH(B3,L2:AS2,0),FALSE)*'Pipeline&amp;TL'!B41/100</f>
        <v>5.3759999999999997E-3</v>
      </c>
      <c r="F28">
        <v>207.2141212586339</v>
      </c>
      <c r="L28" s="53">
        <v>26</v>
      </c>
      <c r="M28" s="35"/>
      <c r="N28" s="35"/>
      <c r="O28" s="35"/>
      <c r="P28" s="35"/>
      <c r="Q28" s="35"/>
      <c r="R28" s="35"/>
      <c r="S28" s="35"/>
      <c r="T28" s="35"/>
      <c r="U28" s="35"/>
      <c r="V28" s="35"/>
      <c r="W28" s="35"/>
      <c r="X28" s="63">
        <v>160</v>
      </c>
      <c r="Y28" s="35"/>
      <c r="Z28" s="35"/>
      <c r="AA28" s="63">
        <v>133</v>
      </c>
      <c r="AB28" s="35"/>
      <c r="AC28" s="35"/>
      <c r="AD28" s="35"/>
      <c r="AE28" s="35"/>
      <c r="AF28" s="35"/>
      <c r="AG28" s="35"/>
      <c r="AH28" s="35"/>
      <c r="AI28" s="64">
        <v>39.1</v>
      </c>
      <c r="AJ28" s="35"/>
      <c r="AK28" s="65">
        <v>14.5</v>
      </c>
      <c r="AL28" s="42">
        <v>0</v>
      </c>
      <c r="AM28" s="65">
        <v>10</v>
      </c>
      <c r="AN28" s="35"/>
      <c r="AO28" s="35"/>
      <c r="AP28" s="35"/>
      <c r="AQ28" s="35"/>
      <c r="AR28" s="35"/>
      <c r="AS28" s="41"/>
      <c r="AT28" s="33"/>
    </row>
    <row r="29" spans="1:46">
      <c r="C29" s="182"/>
      <c r="F29">
        <v>230.237912509593</v>
      </c>
      <c r="L29" s="53">
        <v>27</v>
      </c>
      <c r="M29" s="35"/>
      <c r="N29" s="35"/>
      <c r="O29" s="35"/>
      <c r="P29" s="35"/>
      <c r="Q29" s="35"/>
      <c r="R29" s="35"/>
      <c r="S29" s="35"/>
      <c r="T29" s="35"/>
      <c r="U29" s="35"/>
      <c r="V29" s="35"/>
      <c r="W29" s="35"/>
      <c r="X29" s="35"/>
      <c r="Y29" s="35"/>
      <c r="Z29" s="35"/>
      <c r="AA29" s="35"/>
      <c r="AB29" s="35"/>
      <c r="AC29" s="35"/>
      <c r="AD29" s="35"/>
      <c r="AE29" s="35"/>
      <c r="AF29" s="35"/>
      <c r="AG29" s="35"/>
      <c r="AH29" s="35"/>
      <c r="AI29" s="35"/>
      <c r="AJ29" s="64">
        <v>38.5</v>
      </c>
      <c r="AK29" s="35"/>
      <c r="AL29" s="65">
        <v>10</v>
      </c>
      <c r="AM29" s="42">
        <v>0</v>
      </c>
      <c r="AN29" s="35"/>
      <c r="AO29" s="35"/>
      <c r="AP29" s="35"/>
      <c r="AQ29" s="35"/>
      <c r="AR29" s="35"/>
      <c r="AS29" s="41"/>
      <c r="AT29" s="33"/>
    </row>
    <row r="30" spans="1:46">
      <c r="A30" s="185"/>
      <c r="B30" s="185"/>
      <c r="C30" s="185"/>
      <c r="D30" s="185"/>
      <c r="F30">
        <v>345.35686876438984</v>
      </c>
      <c r="L30" s="53">
        <v>28</v>
      </c>
      <c r="M30" s="35"/>
      <c r="N30" s="35"/>
      <c r="O30" s="65">
        <v>71.77</v>
      </c>
      <c r="P30" s="35"/>
      <c r="Q30" s="65">
        <v>8.61</v>
      </c>
      <c r="R30" s="35"/>
      <c r="S30" s="65">
        <v>10.48</v>
      </c>
      <c r="T30" s="35"/>
      <c r="U30" s="35"/>
      <c r="V30" s="35"/>
      <c r="W30" s="35"/>
      <c r="X30" s="35"/>
      <c r="Y30" s="35"/>
      <c r="Z30" s="35"/>
      <c r="AA30" s="35"/>
      <c r="AB30" s="35"/>
      <c r="AC30" s="35"/>
      <c r="AD30" s="35"/>
      <c r="AE30" s="35"/>
      <c r="AF30" s="35"/>
      <c r="AG30" s="35"/>
      <c r="AH30" s="35"/>
      <c r="AI30" s="63">
        <v>40.299999999999997</v>
      </c>
      <c r="AJ30" s="35"/>
      <c r="AK30" s="35"/>
      <c r="AL30" s="35"/>
      <c r="AM30" s="35"/>
      <c r="AN30" s="42">
        <v>0</v>
      </c>
      <c r="AO30" s="65">
        <v>2.68</v>
      </c>
      <c r="AP30" s="35"/>
      <c r="AQ30" s="63">
        <v>89.3</v>
      </c>
      <c r="AR30" s="35"/>
      <c r="AS30" s="41"/>
      <c r="AT30" s="33"/>
    </row>
    <row r="31" spans="1:46">
      <c r="A31" s="68"/>
      <c r="B31" s="68"/>
      <c r="C31" s="68"/>
      <c r="D31" s="68"/>
      <c r="F31">
        <v>709.40620073568004</v>
      </c>
      <c r="L31" s="53">
        <v>29</v>
      </c>
      <c r="M31" s="35"/>
      <c r="N31" s="35"/>
      <c r="O31" s="35"/>
      <c r="P31" s="65">
        <v>2.23</v>
      </c>
      <c r="Q31" s="35"/>
      <c r="R31" s="35"/>
      <c r="S31" s="35"/>
      <c r="T31" s="35"/>
      <c r="U31" s="35"/>
      <c r="V31" s="35"/>
      <c r="W31" s="35"/>
      <c r="X31" s="35"/>
      <c r="Y31" s="35"/>
      <c r="Z31" s="35"/>
      <c r="AA31" s="35"/>
      <c r="AB31" s="35"/>
      <c r="AC31" s="35"/>
      <c r="AD31" s="35"/>
      <c r="AE31" s="35"/>
      <c r="AF31" s="35"/>
      <c r="AG31" s="35"/>
      <c r="AH31" s="35"/>
      <c r="AI31" s="35"/>
      <c r="AJ31" s="35"/>
      <c r="AK31" s="35"/>
      <c r="AL31" s="35"/>
      <c r="AM31" s="35"/>
      <c r="AN31" s="65">
        <v>2.68</v>
      </c>
      <c r="AO31" s="42">
        <v>0</v>
      </c>
      <c r="AP31" s="65">
        <v>0.11</v>
      </c>
      <c r="AQ31" s="35"/>
      <c r="AR31" s="35"/>
      <c r="AS31" s="41"/>
      <c r="AT31" s="33"/>
    </row>
    <row r="32" spans="1:46">
      <c r="A32" s="68"/>
      <c r="B32" s="68"/>
      <c r="C32" s="68"/>
      <c r="D32" s="68"/>
      <c r="F32">
        <v>8150.5483549351948</v>
      </c>
      <c r="L32" s="53">
        <v>30</v>
      </c>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65">
        <v>0.11</v>
      </c>
      <c r="AP32" s="42">
        <v>0</v>
      </c>
      <c r="AQ32" s="35"/>
      <c r="AR32" s="35"/>
      <c r="AS32" s="41"/>
      <c r="AT32" s="33"/>
    </row>
    <row r="33" spans="1:46">
      <c r="A33" s="68"/>
      <c r="B33" s="68"/>
      <c r="C33" s="68"/>
      <c r="D33" s="68"/>
      <c r="F33">
        <v>8150.5483549351902</v>
      </c>
      <c r="L33" s="53">
        <v>31</v>
      </c>
      <c r="M33" s="35"/>
      <c r="N33" s="35"/>
      <c r="O33" s="35"/>
      <c r="P33" s="35"/>
      <c r="Q33" s="35"/>
      <c r="R33" s="35"/>
      <c r="S33" s="35"/>
      <c r="T33" s="35"/>
      <c r="U33" s="35"/>
      <c r="V33" s="35"/>
      <c r="W33" s="35"/>
      <c r="X33" s="35"/>
      <c r="Y33" s="35"/>
      <c r="Z33" s="35"/>
      <c r="AA33" s="35"/>
      <c r="AB33" s="35"/>
      <c r="AC33" s="35"/>
      <c r="AD33" s="35"/>
      <c r="AE33" s="35"/>
      <c r="AF33" s="35"/>
      <c r="AG33" s="63">
        <v>62.1</v>
      </c>
      <c r="AH33" s="35"/>
      <c r="AI33" s="65">
        <v>59.32</v>
      </c>
      <c r="AJ33" s="63">
        <v>160</v>
      </c>
      <c r="AK33" s="35"/>
      <c r="AL33" s="35"/>
      <c r="AM33" s="35"/>
      <c r="AN33" s="63">
        <v>89.3</v>
      </c>
      <c r="AO33" s="35"/>
      <c r="AP33" s="35"/>
      <c r="AQ33" s="42">
        <v>0</v>
      </c>
      <c r="AR33" s="65">
        <v>19</v>
      </c>
      <c r="AS33" s="41"/>
      <c r="AT33" s="33"/>
    </row>
    <row r="34" spans="1:46">
      <c r="A34" s="68"/>
      <c r="B34" s="68"/>
      <c r="C34" s="68"/>
      <c r="D34" s="68"/>
      <c r="F34">
        <v>17.923186344238978</v>
      </c>
      <c r="L34" s="53">
        <v>32</v>
      </c>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65">
        <v>19</v>
      </c>
      <c r="AR34" s="42">
        <v>0</v>
      </c>
      <c r="AS34" s="66">
        <v>32</v>
      </c>
      <c r="AT34" s="33"/>
    </row>
    <row r="35" spans="1:46" ht="14.65" thickBot="1">
      <c r="A35" s="68"/>
      <c r="B35" s="68"/>
      <c r="C35" s="68"/>
      <c r="D35" s="68"/>
      <c r="L35" s="54">
        <v>33</v>
      </c>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c r="AP35" s="36"/>
      <c r="AQ35" s="36"/>
      <c r="AR35" s="67">
        <v>32</v>
      </c>
      <c r="AS35" s="40">
        <v>0</v>
      </c>
      <c r="AT35" s="33"/>
    </row>
    <row r="36" spans="1:46">
      <c r="A36" s="68"/>
      <c r="B36" s="68"/>
      <c r="C36" s="68"/>
      <c r="D36" s="68"/>
    </row>
    <row r="37" spans="1:46">
      <c r="A37" s="68"/>
      <c r="B37" s="68"/>
      <c r="C37" s="68"/>
      <c r="D37" s="68"/>
    </row>
    <row r="38" spans="1:46">
      <c r="A38" s="68"/>
      <c r="B38" s="68"/>
      <c r="C38" s="68"/>
      <c r="D38" s="68"/>
    </row>
    <row r="39" spans="1:46">
      <c r="A39" s="68"/>
      <c r="B39" s="68"/>
      <c r="C39" s="68"/>
      <c r="D39" s="68"/>
    </row>
    <row r="40" spans="1:46">
      <c r="A40" s="68"/>
      <c r="B40" s="68"/>
      <c r="C40" s="68"/>
      <c r="D40" s="68"/>
    </row>
    <row r="41" spans="1:46">
      <c r="A41" s="68"/>
      <c r="B41" s="68"/>
      <c r="C41" s="68"/>
      <c r="D41" s="68"/>
    </row>
    <row r="42" spans="1:46">
      <c r="A42" s="68"/>
      <c r="B42" s="68"/>
      <c r="C42" s="68"/>
      <c r="D42" s="68"/>
    </row>
    <row r="43" spans="1:46">
      <c r="A43" s="68"/>
      <c r="B43" s="68"/>
      <c r="C43" s="68"/>
      <c r="D43" s="68"/>
    </row>
  </sheetData>
  <mergeCells count="1">
    <mergeCell ref="L1:L2"/>
  </mergeCells>
  <phoneticPr fontId="2" type="noConversion"/>
  <dataValidations disablePrompts="1" count="3">
    <dataValidation type="list" allowBlank="1" showInputMessage="1" showErrorMessage="1" sqref="B2" xr:uid="{D3563F67-ED14-45A2-BCA6-7820A4E07B5B}">
      <formula1>From</formula1>
    </dataValidation>
    <dataValidation type="list" allowBlank="1" showInputMessage="1" showErrorMessage="1" sqref="B3" xr:uid="{6C553C59-B01A-4375-81CB-808ECA478140}">
      <formula1>To</formula1>
    </dataValidation>
    <dataValidation type="list" allowBlank="1" showInputMessage="1" showErrorMessage="1" sqref="B1" xr:uid="{584629FE-8144-46BE-B5D6-555272161D6F}">
      <formula1>Años</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4656C-9A8E-44CE-AE96-F06417A1C5EF}">
  <sheetPr codeName="Hoja7"/>
  <dimension ref="A1:K187"/>
  <sheetViews>
    <sheetView tabSelected="1" topLeftCell="A28" workbookViewId="0">
      <selection activeCell="D182" sqref="D182"/>
    </sheetView>
  </sheetViews>
  <sheetFormatPr defaultColWidth="11.42578125" defaultRowHeight="14.25"/>
  <cols>
    <col min="1" max="1" width="31.7109375" customWidth="1"/>
    <col min="2" max="2" width="16.7109375" bestFit="1" customWidth="1"/>
    <col min="3" max="3" width="17.7109375" bestFit="1" customWidth="1"/>
    <col min="4" max="5" width="16.7109375" bestFit="1" customWidth="1"/>
    <col min="6" max="6" width="17.7109375" bestFit="1" customWidth="1"/>
    <col min="7" max="7" width="16.7109375" bestFit="1" customWidth="1"/>
    <col min="8" max="8" width="17.7109375" bestFit="1" customWidth="1"/>
    <col min="9" max="9" width="11.5703125" style="71"/>
    <col min="10" max="10" width="42.140625" customWidth="1"/>
  </cols>
  <sheetData>
    <row r="1" spans="1:10" ht="28.9" thickBot="1">
      <c r="A1" s="115" t="s">
        <v>566</v>
      </c>
      <c r="B1" s="86">
        <v>2020</v>
      </c>
      <c r="C1" s="80">
        <v>2025</v>
      </c>
      <c r="D1" s="80">
        <v>2030</v>
      </c>
      <c r="E1" s="80">
        <v>2035</v>
      </c>
      <c r="F1" s="80">
        <v>2040</v>
      </c>
      <c r="G1" s="80">
        <v>2045</v>
      </c>
      <c r="H1" s="80">
        <v>2050</v>
      </c>
      <c r="I1" s="107" t="s">
        <v>567</v>
      </c>
      <c r="J1" s="82" t="s">
        <v>568</v>
      </c>
    </row>
    <row r="2" spans="1:10" ht="57">
      <c r="A2" s="90" t="s">
        <v>569</v>
      </c>
      <c r="B2" s="87">
        <v>34.28</v>
      </c>
      <c r="C2" s="78">
        <v>34.28</v>
      </c>
      <c r="D2" s="78">
        <v>34.28</v>
      </c>
      <c r="E2" s="78">
        <v>34.28</v>
      </c>
      <c r="F2" s="78">
        <v>34.28</v>
      </c>
      <c r="G2" s="78">
        <v>34.28</v>
      </c>
      <c r="H2" s="78">
        <v>34.28</v>
      </c>
      <c r="I2" s="215" t="s">
        <v>570</v>
      </c>
      <c r="J2" s="98" t="s">
        <v>571</v>
      </c>
    </row>
    <row r="3" spans="1:10" ht="28.5">
      <c r="A3" s="108" t="s">
        <v>572</v>
      </c>
      <c r="B3" s="88" t="s">
        <v>573</v>
      </c>
      <c r="C3" s="73" t="s">
        <v>573</v>
      </c>
      <c r="D3" s="73" t="s">
        <v>573</v>
      </c>
      <c r="E3" s="73" t="s">
        <v>573</v>
      </c>
      <c r="F3" s="73" t="s">
        <v>573</v>
      </c>
      <c r="G3" s="73" t="s">
        <v>573</v>
      </c>
      <c r="H3" s="73" t="s">
        <v>573</v>
      </c>
      <c r="I3" s="216"/>
      <c r="J3" s="9"/>
    </row>
    <row r="4" spans="1:10">
      <c r="A4" s="91" t="s">
        <v>574</v>
      </c>
      <c r="B4" s="88">
        <v>0</v>
      </c>
      <c r="C4" s="73">
        <v>0</v>
      </c>
      <c r="D4" s="73">
        <v>0</v>
      </c>
      <c r="E4" s="73">
        <v>0</v>
      </c>
      <c r="F4" s="73">
        <v>0</v>
      </c>
      <c r="G4" s="73">
        <v>0</v>
      </c>
      <c r="H4" s="73">
        <v>0</v>
      </c>
      <c r="I4" s="216"/>
      <c r="J4" s="9"/>
    </row>
    <row r="5" spans="1:10" ht="14.45" customHeight="1">
      <c r="A5" s="91" t="s">
        <v>575</v>
      </c>
      <c r="B5" s="88">
        <v>0.5</v>
      </c>
      <c r="C5" s="73">
        <v>0.5</v>
      </c>
      <c r="D5" s="73">
        <v>0.5</v>
      </c>
      <c r="E5" s="73">
        <v>0.5</v>
      </c>
      <c r="F5" s="73">
        <v>0.5</v>
      </c>
      <c r="G5" s="73">
        <v>0.5</v>
      </c>
      <c r="H5" s="73">
        <v>0.5</v>
      </c>
      <c r="I5" s="97" t="s">
        <v>576</v>
      </c>
      <c r="J5" s="9"/>
    </row>
    <row r="6" spans="1:10" ht="27.6" customHeight="1">
      <c r="A6" s="108" t="s">
        <v>577</v>
      </c>
      <c r="B6" s="88">
        <v>0.53761000000000003</v>
      </c>
      <c r="C6" s="73">
        <v>0.53761000000000003</v>
      </c>
      <c r="D6" s="73">
        <v>0.43985999999999997</v>
      </c>
      <c r="E6" s="73">
        <v>0.43985999999999997</v>
      </c>
      <c r="F6" s="73">
        <v>0.43985999999999997</v>
      </c>
      <c r="G6" s="73">
        <v>0.39100000000000001</v>
      </c>
      <c r="H6" s="73">
        <v>0.39100000000000001</v>
      </c>
      <c r="I6" s="208" t="s">
        <v>578</v>
      </c>
      <c r="J6" s="205" t="s">
        <v>579</v>
      </c>
    </row>
    <row r="7" spans="1:10" ht="28.5">
      <c r="A7" s="108" t="s">
        <v>580</v>
      </c>
      <c r="B7" s="88">
        <v>0.772644</v>
      </c>
      <c r="C7" s="73">
        <v>0.772644</v>
      </c>
      <c r="D7" s="73">
        <v>0.63216300000000003</v>
      </c>
      <c r="E7" s="73">
        <v>0.63216300000000003</v>
      </c>
      <c r="F7" s="73">
        <v>0.63216300000000003</v>
      </c>
      <c r="G7" s="73">
        <v>0.56192299999999995</v>
      </c>
      <c r="H7" s="73">
        <v>0.56192299999999995</v>
      </c>
      <c r="I7" s="209"/>
      <c r="J7" s="206"/>
    </row>
    <row r="8" spans="1:10" ht="28.5">
      <c r="A8" s="108" t="s">
        <v>581</v>
      </c>
      <c r="B8" s="88">
        <v>1.06877</v>
      </c>
      <c r="C8" s="73">
        <v>1.06877</v>
      </c>
      <c r="D8" s="73">
        <v>0.87445200000000001</v>
      </c>
      <c r="E8" s="73">
        <v>0.87445200000000001</v>
      </c>
      <c r="F8" s="73">
        <v>0.87445200000000001</v>
      </c>
      <c r="G8" s="73">
        <v>0.77729999999999999</v>
      </c>
      <c r="H8" s="73">
        <v>0.77729999999999999</v>
      </c>
      <c r="I8" s="209"/>
      <c r="J8" s="206"/>
    </row>
    <row r="9" spans="1:10" ht="28.5">
      <c r="A9" s="108" t="s">
        <v>582</v>
      </c>
      <c r="B9" s="88">
        <v>1.14446</v>
      </c>
      <c r="C9" s="73">
        <v>1.14446</v>
      </c>
      <c r="D9" s="73">
        <v>0.93637599999999999</v>
      </c>
      <c r="E9" s="73">
        <v>0.93637599999999999</v>
      </c>
      <c r="F9" s="73">
        <v>0.93637599999999999</v>
      </c>
      <c r="G9" s="73">
        <v>0.83233400000000002</v>
      </c>
      <c r="H9" s="73">
        <v>0.83233400000000002</v>
      </c>
      <c r="I9" s="209"/>
      <c r="J9" s="206"/>
    </row>
    <row r="10" spans="1:10" ht="28.5">
      <c r="A10" s="108" t="s">
        <v>583</v>
      </c>
      <c r="B10" s="88">
        <v>1.2132400000000001</v>
      </c>
      <c r="C10" s="73">
        <v>1.2132400000000001</v>
      </c>
      <c r="D10" s="73">
        <v>0.99265099999999995</v>
      </c>
      <c r="E10" s="73">
        <v>0.99265099999999995</v>
      </c>
      <c r="F10" s="73">
        <v>0.99265099999999995</v>
      </c>
      <c r="G10" s="73">
        <v>0.88235600000000003</v>
      </c>
      <c r="H10" s="73">
        <v>0.88235600000000003</v>
      </c>
      <c r="I10" s="209"/>
      <c r="J10" s="206"/>
    </row>
    <row r="11" spans="1:10" ht="28.5">
      <c r="A11" s="108" t="s">
        <v>584</v>
      </c>
      <c r="B11" s="88">
        <v>1.5372300000000001</v>
      </c>
      <c r="C11" s="73">
        <v>1.5372300000000001</v>
      </c>
      <c r="D11" s="73">
        <v>1.2577400000000001</v>
      </c>
      <c r="E11" s="73">
        <v>1.2577400000000001</v>
      </c>
      <c r="F11" s="73">
        <v>1.2577400000000001</v>
      </c>
      <c r="G11" s="73">
        <v>1.1180000000000001</v>
      </c>
      <c r="H11" s="73">
        <v>1.1180000000000001</v>
      </c>
      <c r="I11" s="209"/>
      <c r="J11" s="206"/>
    </row>
    <row r="12" spans="1:10" ht="28.5">
      <c r="A12" s="108" t="s">
        <v>585</v>
      </c>
      <c r="B12" s="88">
        <v>1.7776000000000001</v>
      </c>
      <c r="C12" s="73">
        <v>1.7776000000000001</v>
      </c>
      <c r="D12" s="73">
        <v>1.4543999999999999</v>
      </c>
      <c r="E12" s="73">
        <v>1.4543999999999999</v>
      </c>
      <c r="F12" s="73">
        <v>1.4543999999999999</v>
      </c>
      <c r="G12" s="73">
        <v>1.2927999999999999</v>
      </c>
      <c r="H12" s="73">
        <v>1.2927999999999999</v>
      </c>
      <c r="I12" s="209"/>
      <c r="J12" s="206"/>
    </row>
    <row r="13" spans="1:10" ht="28.5">
      <c r="A13" s="108" t="s">
        <v>586</v>
      </c>
      <c r="B13" s="88">
        <v>0.23504</v>
      </c>
      <c r="C13" s="73">
        <v>0.23504</v>
      </c>
      <c r="D13" s="73">
        <v>0.192304</v>
      </c>
      <c r="E13" s="73">
        <v>0.192304</v>
      </c>
      <c r="F13" s="73">
        <v>0.192304</v>
      </c>
      <c r="G13" s="73">
        <v>0.17093700000000001</v>
      </c>
      <c r="H13" s="73">
        <v>0.17093700000000001</v>
      </c>
      <c r="I13" s="209"/>
      <c r="J13" s="206"/>
    </row>
    <row r="14" spans="1:10" ht="28.5">
      <c r="A14" s="108" t="s">
        <v>587</v>
      </c>
      <c r="B14" s="88">
        <v>0.53117000000000003</v>
      </c>
      <c r="C14" s="73">
        <v>0.53117000000000003</v>
      </c>
      <c r="D14" s="73">
        <v>0.43459199999999998</v>
      </c>
      <c r="E14" s="73">
        <v>0.43459199999999998</v>
      </c>
      <c r="F14" s="73">
        <v>0.43459199999999998</v>
      </c>
      <c r="G14" s="73">
        <v>0.38630399999999998</v>
      </c>
      <c r="H14" s="73">
        <v>0.38630399999999998</v>
      </c>
      <c r="I14" s="209"/>
      <c r="J14" s="206"/>
    </row>
    <row r="15" spans="1:10" ht="28.5">
      <c r="A15" s="108" t="s">
        <v>588</v>
      </c>
      <c r="B15" s="88">
        <v>0.606854</v>
      </c>
      <c r="C15" s="73">
        <v>0.606854</v>
      </c>
      <c r="D15" s="73">
        <v>0.49651699999999999</v>
      </c>
      <c r="E15" s="73">
        <v>0.49651699999999999</v>
      </c>
      <c r="F15" s="73">
        <v>0.49651699999999999</v>
      </c>
      <c r="G15" s="73">
        <v>0.44135000000000002</v>
      </c>
      <c r="H15" s="73">
        <v>0.44135000000000002</v>
      </c>
      <c r="I15" s="209"/>
      <c r="J15" s="206"/>
    </row>
    <row r="16" spans="1:10" ht="28.5">
      <c r="A16" s="108" t="s">
        <v>589</v>
      </c>
      <c r="B16" s="88">
        <v>0.67563399999999996</v>
      </c>
      <c r="C16" s="73">
        <v>0.67563399999999996</v>
      </c>
      <c r="D16" s="73">
        <v>0.55279199999999995</v>
      </c>
      <c r="E16" s="73">
        <v>0.55279199999999995</v>
      </c>
      <c r="F16" s="73">
        <v>0.55279199999999995</v>
      </c>
      <c r="G16" s="73">
        <v>0.49136999999999997</v>
      </c>
      <c r="H16" s="73">
        <v>0.49136999999999997</v>
      </c>
      <c r="I16" s="209"/>
      <c r="J16" s="206"/>
    </row>
    <row r="17" spans="1:10" ht="28.5">
      <c r="A17" s="108" t="s">
        <v>590</v>
      </c>
      <c r="B17" s="88">
        <v>1</v>
      </c>
      <c r="C17" s="73">
        <v>1</v>
      </c>
      <c r="D17" s="73">
        <v>0.81787600000000005</v>
      </c>
      <c r="E17" s="73">
        <v>0.81787600000000005</v>
      </c>
      <c r="F17" s="73">
        <v>0.81787600000000005</v>
      </c>
      <c r="G17" s="73">
        <v>0.72699999999999998</v>
      </c>
      <c r="H17" s="73">
        <v>0.72699999999999998</v>
      </c>
      <c r="I17" s="209"/>
      <c r="J17" s="206"/>
    </row>
    <row r="18" spans="1:10" ht="28.5">
      <c r="A18" s="108" t="s">
        <v>591</v>
      </c>
      <c r="B18" s="88">
        <v>1.24</v>
      </c>
      <c r="C18" s="73">
        <v>1.24</v>
      </c>
      <c r="D18" s="73">
        <v>1.01454</v>
      </c>
      <c r="E18" s="73">
        <v>1.01454</v>
      </c>
      <c r="F18" s="73">
        <v>1.01454</v>
      </c>
      <c r="G18" s="73">
        <v>0.90181100000000003</v>
      </c>
      <c r="H18" s="73">
        <v>0.90181100000000003</v>
      </c>
      <c r="I18" s="209"/>
      <c r="J18" s="206"/>
    </row>
    <row r="19" spans="1:10" ht="28.5">
      <c r="A19" s="108" t="s">
        <v>592</v>
      </c>
      <c r="B19" s="88">
        <v>0.29613</v>
      </c>
      <c r="C19" s="73">
        <v>0.29613</v>
      </c>
      <c r="D19" s="73">
        <v>0.242288</v>
      </c>
      <c r="E19" s="73">
        <v>0.242288</v>
      </c>
      <c r="F19" s="73">
        <v>0.242288</v>
      </c>
      <c r="G19" s="73">
        <v>0.215367</v>
      </c>
      <c r="H19" s="73">
        <v>0.215367</v>
      </c>
      <c r="I19" s="209"/>
      <c r="J19" s="206"/>
    </row>
    <row r="20" spans="1:10" ht="28.5">
      <c r="A20" s="108" t="s">
        <v>593</v>
      </c>
      <c r="B20" s="88">
        <v>0.37181599999999998</v>
      </c>
      <c r="C20" s="73">
        <v>0.37181599999999998</v>
      </c>
      <c r="D20" s="73">
        <v>0.30421300000000001</v>
      </c>
      <c r="E20" s="73">
        <v>0.30421300000000001</v>
      </c>
      <c r="F20" s="73">
        <v>0.30421300000000001</v>
      </c>
      <c r="G20" s="73">
        <v>0.27041100000000001</v>
      </c>
      <c r="H20" s="73">
        <v>0.27041100000000001</v>
      </c>
      <c r="I20" s="209"/>
      <c r="J20" s="206"/>
    </row>
    <row r="21" spans="1:10" ht="28.5">
      <c r="A21" s="108" t="s">
        <v>594</v>
      </c>
      <c r="B21" s="88">
        <v>0.44059999999999999</v>
      </c>
      <c r="C21" s="73">
        <v>0.44059999999999999</v>
      </c>
      <c r="D21" s="73">
        <v>0.36048999999999998</v>
      </c>
      <c r="E21" s="73">
        <v>0.36048999999999998</v>
      </c>
      <c r="F21" s="73">
        <v>0.36048999999999998</v>
      </c>
      <c r="G21" s="73">
        <v>0.32043300000000002</v>
      </c>
      <c r="H21" s="73">
        <v>0.32043300000000002</v>
      </c>
      <c r="I21" s="209"/>
      <c r="J21" s="206"/>
    </row>
    <row r="22" spans="1:10" ht="28.5">
      <c r="A22" s="108" t="s">
        <v>595</v>
      </c>
      <c r="B22" s="88">
        <v>0.76458800000000005</v>
      </c>
      <c r="C22" s="73">
        <v>0.76458800000000005</v>
      </c>
      <c r="D22" s="73">
        <v>0.62557200000000002</v>
      </c>
      <c r="E22" s="73">
        <v>0.62557200000000002</v>
      </c>
      <c r="F22" s="73">
        <v>0.62557200000000002</v>
      </c>
      <c r="G22" s="73">
        <v>0.556064</v>
      </c>
      <c r="H22" s="73">
        <v>0.556064</v>
      </c>
      <c r="I22" s="209"/>
      <c r="J22" s="206"/>
    </row>
    <row r="23" spans="1:10" ht="28.5">
      <c r="A23" s="108" t="s">
        <v>596</v>
      </c>
      <c r="B23" s="88">
        <v>1.0049999999999999</v>
      </c>
      <c r="C23" s="73">
        <v>1.0049999999999999</v>
      </c>
      <c r="D23" s="73">
        <v>0.82223299999999999</v>
      </c>
      <c r="E23" s="73">
        <v>0.82223299999999999</v>
      </c>
      <c r="F23" s="73">
        <v>0.82223299999999999</v>
      </c>
      <c r="G23" s="73">
        <v>0.73087299999999999</v>
      </c>
      <c r="H23" s="73">
        <v>0.73087299999999999</v>
      </c>
      <c r="I23" s="209"/>
      <c r="J23" s="206"/>
    </row>
    <row r="24" spans="1:10" ht="28.5">
      <c r="A24" s="108" t="s">
        <v>597</v>
      </c>
      <c r="B24" s="88">
        <v>7.5689999999999993E-2</v>
      </c>
      <c r="C24" s="73">
        <v>7.5689999999999993E-2</v>
      </c>
      <c r="D24" s="73">
        <v>6.1925000000000001E-2</v>
      </c>
      <c r="E24" s="73">
        <v>6.1925000000000001E-2</v>
      </c>
      <c r="F24" s="73">
        <v>6.1925000000000001E-2</v>
      </c>
      <c r="G24" s="73">
        <v>5.5044000000000003E-2</v>
      </c>
      <c r="H24" s="73">
        <v>5.5044000000000003E-2</v>
      </c>
      <c r="I24" s="209"/>
      <c r="J24" s="206"/>
    </row>
    <row r="25" spans="1:10" ht="28.5">
      <c r="A25" s="108" t="s">
        <v>598</v>
      </c>
      <c r="B25" s="88">
        <v>0.14446600000000001</v>
      </c>
      <c r="C25" s="73">
        <v>0.14446600000000001</v>
      </c>
      <c r="D25" s="73">
        <v>0.1182</v>
      </c>
      <c r="E25" s="73">
        <v>0.1182</v>
      </c>
      <c r="F25" s="73">
        <v>0.1182</v>
      </c>
      <c r="G25" s="73">
        <v>0.10506600000000001</v>
      </c>
      <c r="H25" s="73">
        <v>0.10506600000000001</v>
      </c>
      <c r="I25" s="209"/>
      <c r="J25" s="206"/>
    </row>
    <row r="26" spans="1:10" ht="28.5">
      <c r="A26" s="108" t="s">
        <v>599</v>
      </c>
      <c r="B26" s="88">
        <v>0.46845999999999999</v>
      </c>
      <c r="C26" s="73">
        <v>0.46845999999999999</v>
      </c>
      <c r="D26" s="73">
        <v>0.38328400000000001</v>
      </c>
      <c r="E26" s="73">
        <v>0.38328400000000001</v>
      </c>
      <c r="F26" s="73">
        <v>0.38328400000000001</v>
      </c>
      <c r="G26" s="73">
        <v>0.3407</v>
      </c>
      <c r="H26" s="73">
        <v>0.3407</v>
      </c>
      <c r="I26" s="209"/>
      <c r="J26" s="206"/>
    </row>
    <row r="27" spans="1:10" ht="28.5">
      <c r="A27" s="108" t="s">
        <v>600</v>
      </c>
      <c r="B27" s="88">
        <v>0.70882100000000003</v>
      </c>
      <c r="C27" s="73">
        <v>0.70882100000000003</v>
      </c>
      <c r="D27" s="73">
        <v>0.57999999999999996</v>
      </c>
      <c r="E27" s="73">
        <v>0.57999999999999996</v>
      </c>
      <c r="F27" s="73">
        <v>0.57999999999999996</v>
      </c>
      <c r="G27" s="73">
        <v>0.51550600000000002</v>
      </c>
      <c r="H27" s="73">
        <v>0.51550600000000002</v>
      </c>
      <c r="I27" s="209"/>
      <c r="J27" s="206"/>
    </row>
    <row r="28" spans="1:10" ht="28.5">
      <c r="A28" s="108" t="s">
        <v>601</v>
      </c>
      <c r="B28" s="88">
        <v>6.88E-2</v>
      </c>
      <c r="C28" s="73">
        <v>6.88E-2</v>
      </c>
      <c r="D28" s="73">
        <v>5.6274999999999999E-2</v>
      </c>
      <c r="E28" s="73">
        <v>5.6274999999999999E-2</v>
      </c>
      <c r="F28" s="73">
        <v>5.6274999999999999E-2</v>
      </c>
      <c r="G28" s="73">
        <v>0.05</v>
      </c>
      <c r="H28" s="73">
        <v>0.05</v>
      </c>
      <c r="I28" s="209"/>
      <c r="J28" s="206"/>
    </row>
    <row r="29" spans="1:10" ht="28.5">
      <c r="A29" s="108" t="s">
        <v>602</v>
      </c>
      <c r="B29" s="88">
        <v>0.39277299999999998</v>
      </c>
      <c r="C29" s="73">
        <v>0.39277299999999998</v>
      </c>
      <c r="D29" s="73">
        <v>0.32135999999999998</v>
      </c>
      <c r="E29" s="73">
        <v>0.32135999999999998</v>
      </c>
      <c r="F29" s="73">
        <v>0.32135999999999998</v>
      </c>
      <c r="G29" s="73">
        <v>0.28565299999999999</v>
      </c>
      <c r="H29" s="73">
        <v>0.28565299999999999</v>
      </c>
      <c r="I29" s="209"/>
      <c r="J29" s="206"/>
    </row>
    <row r="30" spans="1:10" ht="28.5">
      <c r="A30" s="108" t="s">
        <v>603</v>
      </c>
      <c r="B30" s="88">
        <v>0.633135</v>
      </c>
      <c r="C30" s="73">
        <v>0.633135</v>
      </c>
      <c r="D30" s="73">
        <v>0.51800000000000002</v>
      </c>
      <c r="E30" s="73">
        <v>0.51800000000000002</v>
      </c>
      <c r="F30" s="73">
        <v>0.51800000000000002</v>
      </c>
      <c r="G30" s="73">
        <v>0.46046199999999998</v>
      </c>
      <c r="H30" s="73">
        <v>0.46046199999999998</v>
      </c>
      <c r="I30" s="209"/>
      <c r="J30" s="206"/>
    </row>
    <row r="31" spans="1:10" ht="28.5">
      <c r="A31" s="108" t="s">
        <v>604</v>
      </c>
      <c r="B31" s="88">
        <v>0.32400000000000001</v>
      </c>
      <c r="C31" s="73">
        <v>0.32400000000000001</v>
      </c>
      <c r="D31" s="73">
        <v>0.26508500000000002</v>
      </c>
      <c r="E31" s="73">
        <v>0.26508500000000002</v>
      </c>
      <c r="F31" s="73">
        <v>0.26508500000000002</v>
      </c>
      <c r="G31" s="73">
        <v>0.23563100000000001</v>
      </c>
      <c r="H31" s="73">
        <v>0.23563100000000001</v>
      </c>
      <c r="I31" s="209"/>
      <c r="J31" s="206"/>
    </row>
    <row r="32" spans="1:10" ht="28.5">
      <c r="A32" s="108" t="s">
        <v>605</v>
      </c>
      <c r="B32" s="88">
        <v>0.56435500000000005</v>
      </c>
      <c r="C32" s="73">
        <v>0.56435500000000005</v>
      </c>
      <c r="D32" s="73">
        <v>0.46174500000000002</v>
      </c>
      <c r="E32" s="73">
        <v>0.46174500000000002</v>
      </c>
      <c r="F32" s="73">
        <v>0.46174500000000002</v>
      </c>
      <c r="G32" s="73">
        <v>0.41044000000000003</v>
      </c>
      <c r="H32" s="73">
        <v>0.41044000000000003</v>
      </c>
      <c r="I32" s="209"/>
      <c r="J32" s="206"/>
    </row>
    <row r="33" spans="1:10" ht="28.5">
      <c r="A33" s="108" t="s">
        <v>606</v>
      </c>
      <c r="B33" s="88">
        <v>0.24036299999999999</v>
      </c>
      <c r="C33" s="73">
        <v>0.24036299999999999</v>
      </c>
      <c r="D33" s="73">
        <v>0.19666</v>
      </c>
      <c r="E33" s="73">
        <v>0.19666</v>
      </c>
      <c r="F33" s="73">
        <v>0.19666</v>
      </c>
      <c r="G33" s="73">
        <v>0.17480899999999999</v>
      </c>
      <c r="H33" s="73">
        <v>0.17480899999999999</v>
      </c>
      <c r="I33" s="210"/>
      <c r="J33" s="207"/>
    </row>
    <row r="34" spans="1:10" ht="30.6" customHeight="1">
      <c r="A34" s="91" t="s">
        <v>607</v>
      </c>
      <c r="B34" s="88">
        <v>100</v>
      </c>
      <c r="C34" s="73">
        <v>100</v>
      </c>
      <c r="D34" s="73">
        <v>100</v>
      </c>
      <c r="E34" s="73">
        <v>100</v>
      </c>
      <c r="F34" s="73">
        <v>100</v>
      </c>
      <c r="G34" s="73">
        <v>100</v>
      </c>
      <c r="H34" s="73">
        <v>100</v>
      </c>
      <c r="I34" s="97"/>
      <c r="J34" s="118" t="s">
        <v>608</v>
      </c>
    </row>
    <row r="35" spans="1:10" ht="28.5">
      <c r="A35" s="108" t="s">
        <v>609</v>
      </c>
      <c r="B35" s="88">
        <v>4500</v>
      </c>
      <c r="C35" s="73">
        <v>4500</v>
      </c>
      <c r="D35" s="73">
        <v>4500</v>
      </c>
      <c r="E35" s="73">
        <v>4500</v>
      </c>
      <c r="F35" s="73">
        <v>4500</v>
      </c>
      <c r="G35" s="73">
        <v>4500</v>
      </c>
      <c r="H35" s="73">
        <v>4500</v>
      </c>
      <c r="I35" s="217" t="s">
        <v>570</v>
      </c>
      <c r="J35" s="99" t="s">
        <v>610</v>
      </c>
    </row>
    <row r="36" spans="1:10" ht="14.65" thickBot="1">
      <c r="A36" s="92" t="s">
        <v>611</v>
      </c>
      <c r="B36" s="89">
        <v>20</v>
      </c>
      <c r="C36" s="75">
        <v>20</v>
      </c>
      <c r="D36" s="75">
        <v>20</v>
      </c>
      <c r="E36" s="75">
        <v>20</v>
      </c>
      <c r="F36" s="75">
        <v>20</v>
      </c>
      <c r="G36" s="75">
        <v>20</v>
      </c>
      <c r="H36" s="75">
        <v>20</v>
      </c>
      <c r="I36" s="218"/>
      <c r="J36" s="13"/>
    </row>
    <row r="37" spans="1:10" ht="14.65" thickBot="1">
      <c r="B37" s="35"/>
      <c r="C37" s="35"/>
      <c r="D37" s="35"/>
      <c r="E37" s="35"/>
      <c r="F37" s="35"/>
      <c r="G37" s="35"/>
      <c r="H37" s="35"/>
      <c r="I37" s="96"/>
    </row>
    <row r="38" spans="1:10" ht="28.9" thickBot="1">
      <c r="A38" s="115" t="s">
        <v>612</v>
      </c>
      <c r="B38" s="86">
        <v>2020</v>
      </c>
      <c r="C38" s="80">
        <v>2025</v>
      </c>
      <c r="D38" s="80">
        <v>2030</v>
      </c>
      <c r="E38" s="80">
        <v>2035</v>
      </c>
      <c r="F38" s="80">
        <v>2040</v>
      </c>
      <c r="G38" s="80">
        <v>2045</v>
      </c>
      <c r="H38" s="80">
        <v>2050</v>
      </c>
      <c r="I38" s="107" t="s">
        <v>567</v>
      </c>
      <c r="J38" s="82" t="s">
        <v>568</v>
      </c>
    </row>
    <row r="39" spans="1:10">
      <c r="A39" s="90" t="s">
        <v>569</v>
      </c>
      <c r="B39" s="87">
        <v>100</v>
      </c>
      <c r="C39" s="78">
        <v>100</v>
      </c>
      <c r="D39" s="78">
        <v>100</v>
      </c>
      <c r="E39" s="78">
        <v>100</v>
      </c>
      <c r="F39" s="78">
        <v>100</v>
      </c>
      <c r="G39" s="78">
        <v>100</v>
      </c>
      <c r="H39" s="78">
        <v>100</v>
      </c>
      <c r="I39" s="215" t="s">
        <v>570</v>
      </c>
      <c r="J39" s="98" t="s">
        <v>613</v>
      </c>
    </row>
    <row r="40" spans="1:10" ht="28.5">
      <c r="A40" s="108" t="s">
        <v>572</v>
      </c>
      <c r="B40" s="88" t="s">
        <v>614</v>
      </c>
      <c r="C40" s="73" t="s">
        <v>614</v>
      </c>
      <c r="D40" s="73" t="s">
        <v>614</v>
      </c>
      <c r="E40" s="73" t="s">
        <v>614</v>
      </c>
      <c r="F40" s="73" t="s">
        <v>614</v>
      </c>
      <c r="G40" s="73" t="s">
        <v>614</v>
      </c>
      <c r="H40" s="73" t="s">
        <v>614</v>
      </c>
      <c r="I40" s="216"/>
      <c r="J40" s="9"/>
    </row>
    <row r="41" spans="1:10">
      <c r="A41" s="91" t="s">
        <v>574</v>
      </c>
      <c r="B41" s="88">
        <v>0</v>
      </c>
      <c r="C41" s="73">
        <v>0</v>
      </c>
      <c r="D41" s="73">
        <v>0</v>
      </c>
      <c r="E41" s="73">
        <v>0</v>
      </c>
      <c r="F41" s="73">
        <v>0</v>
      </c>
      <c r="G41" s="73">
        <v>0</v>
      </c>
      <c r="H41" s="73">
        <v>0</v>
      </c>
      <c r="I41" s="216"/>
      <c r="J41" s="9"/>
    </row>
    <row r="42" spans="1:10" ht="13.9" customHeight="1">
      <c r="A42" s="91" t="s">
        <v>575</v>
      </c>
      <c r="B42" s="88">
        <v>0.5</v>
      </c>
      <c r="C42" s="73">
        <v>0.5</v>
      </c>
      <c r="D42" s="73">
        <v>0.5</v>
      </c>
      <c r="E42" s="73">
        <v>0.5</v>
      </c>
      <c r="F42" s="73">
        <v>0.5</v>
      </c>
      <c r="G42" s="73">
        <v>0.5</v>
      </c>
      <c r="H42" s="73">
        <v>0.5</v>
      </c>
      <c r="I42" s="97" t="s">
        <v>576</v>
      </c>
      <c r="J42" s="9"/>
    </row>
    <row r="43" spans="1:10" ht="30" customHeight="1">
      <c r="A43" s="108" t="s">
        <v>615</v>
      </c>
      <c r="B43" s="88">
        <v>0.43972499999999998</v>
      </c>
      <c r="C43" s="73">
        <v>0.43972499999999998</v>
      </c>
      <c r="D43" s="73">
        <v>0.36</v>
      </c>
      <c r="E43" s="73">
        <v>0.36</v>
      </c>
      <c r="F43" s="73">
        <v>0.36</v>
      </c>
      <c r="G43" s="73">
        <v>0.32</v>
      </c>
      <c r="H43" s="73">
        <v>0.32</v>
      </c>
      <c r="I43" s="208" t="s">
        <v>578</v>
      </c>
      <c r="J43" s="205" t="s">
        <v>579</v>
      </c>
    </row>
    <row r="44" spans="1:10" ht="28.5">
      <c r="A44" s="108" t="s">
        <v>616</v>
      </c>
      <c r="B44" s="88">
        <v>0.76595000000000002</v>
      </c>
      <c r="C44" s="73">
        <v>0.76595000000000002</v>
      </c>
      <c r="D44" s="73">
        <v>0.62668500000000005</v>
      </c>
      <c r="E44" s="73">
        <v>0.62668500000000005</v>
      </c>
      <c r="F44" s="73">
        <v>0.62668500000000005</v>
      </c>
      <c r="G44" s="73">
        <v>0.55705300000000002</v>
      </c>
      <c r="H44" s="73">
        <v>0.55705300000000002</v>
      </c>
      <c r="I44" s="209"/>
      <c r="J44" s="206"/>
    </row>
    <row r="45" spans="1:10" ht="28.5">
      <c r="A45" s="108" t="s">
        <v>617</v>
      </c>
      <c r="B45" s="88">
        <v>1.1113599999999999</v>
      </c>
      <c r="C45" s="73">
        <v>1.1113599999999999</v>
      </c>
      <c r="D45" s="73">
        <v>0.90929199999999999</v>
      </c>
      <c r="E45" s="73">
        <v>0.90929199999999999</v>
      </c>
      <c r="F45" s="73">
        <v>0.90929199999999999</v>
      </c>
      <c r="G45" s="73">
        <v>0.80825999999999998</v>
      </c>
      <c r="H45" s="73">
        <v>0.80825999999999998</v>
      </c>
      <c r="I45" s="210"/>
      <c r="J45" s="207"/>
    </row>
    <row r="46" spans="1:10" ht="29.45" customHeight="1">
      <c r="A46" s="91" t="s">
        <v>607</v>
      </c>
      <c r="B46" s="88">
        <v>100</v>
      </c>
      <c r="C46" s="73">
        <v>100</v>
      </c>
      <c r="D46" s="73">
        <v>100</v>
      </c>
      <c r="E46" s="73">
        <v>100</v>
      </c>
      <c r="F46" s="73">
        <v>100</v>
      </c>
      <c r="G46" s="73">
        <v>100</v>
      </c>
      <c r="H46" s="73">
        <v>100</v>
      </c>
      <c r="I46" s="97"/>
      <c r="J46" s="99" t="s">
        <v>608</v>
      </c>
    </row>
    <row r="47" spans="1:10" ht="31.15" customHeight="1">
      <c r="A47" s="108" t="s">
        <v>609</v>
      </c>
      <c r="B47" s="88">
        <v>180</v>
      </c>
      <c r="C47" s="73">
        <v>180</v>
      </c>
      <c r="D47" s="73">
        <v>180</v>
      </c>
      <c r="E47" s="73">
        <v>180</v>
      </c>
      <c r="F47" s="73">
        <v>180</v>
      </c>
      <c r="G47" s="73">
        <v>180</v>
      </c>
      <c r="H47" s="73">
        <v>180</v>
      </c>
      <c r="I47" s="94" t="s">
        <v>570</v>
      </c>
      <c r="J47" s="9"/>
    </row>
    <row r="48" spans="1:10" ht="14.65" thickBot="1">
      <c r="A48" s="92" t="s">
        <v>611</v>
      </c>
      <c r="B48" s="89">
        <v>20</v>
      </c>
      <c r="C48" s="75">
        <v>20</v>
      </c>
      <c r="D48" s="75">
        <v>20</v>
      </c>
      <c r="E48" s="75">
        <v>20</v>
      </c>
      <c r="F48" s="75">
        <v>20</v>
      </c>
      <c r="G48" s="75">
        <v>20</v>
      </c>
      <c r="H48" s="75">
        <v>20</v>
      </c>
      <c r="I48" s="95"/>
      <c r="J48" s="13"/>
    </row>
    <row r="49" spans="1:10" ht="14.65" thickBot="1">
      <c r="B49" s="35"/>
      <c r="C49" s="35"/>
      <c r="D49" s="35"/>
      <c r="E49" s="35"/>
      <c r="F49" s="35"/>
      <c r="G49" s="35"/>
      <c r="H49" s="35"/>
      <c r="I49" s="96"/>
    </row>
    <row r="50" spans="1:10" ht="14.65" thickBot="1">
      <c r="A50" s="114" t="s">
        <v>618</v>
      </c>
      <c r="B50" s="86">
        <v>2020</v>
      </c>
      <c r="C50" s="80">
        <v>2025</v>
      </c>
      <c r="D50" s="80">
        <v>2030</v>
      </c>
      <c r="E50" s="80">
        <v>2035</v>
      </c>
      <c r="F50" s="80">
        <v>2040</v>
      </c>
      <c r="G50" s="80">
        <v>2045</v>
      </c>
      <c r="H50" s="80">
        <v>2050</v>
      </c>
      <c r="I50" s="81" t="s">
        <v>567</v>
      </c>
      <c r="J50" s="82" t="s">
        <v>568</v>
      </c>
    </row>
    <row r="51" spans="1:10" ht="75" customHeight="1">
      <c r="A51" s="90" t="s">
        <v>619</v>
      </c>
      <c r="B51" s="87">
        <v>73560.3</v>
      </c>
      <c r="C51" s="78">
        <v>73560.3</v>
      </c>
      <c r="D51" s="78">
        <v>66416.2</v>
      </c>
      <c r="E51" s="78">
        <v>57818.6</v>
      </c>
      <c r="F51" s="78">
        <v>53315</v>
      </c>
      <c r="G51" s="78">
        <v>50334</v>
      </c>
      <c r="H51" s="78">
        <v>50334</v>
      </c>
      <c r="I51" s="93" t="s">
        <v>620</v>
      </c>
      <c r="J51" s="103" t="s">
        <v>621</v>
      </c>
    </row>
    <row r="52" spans="1:10" ht="28.5">
      <c r="A52" s="108" t="s">
        <v>622</v>
      </c>
      <c r="B52" s="88" t="s">
        <v>623</v>
      </c>
      <c r="C52" s="73" t="s">
        <v>623</v>
      </c>
      <c r="D52" s="73" t="s">
        <v>624</v>
      </c>
      <c r="E52" s="73" t="s">
        <v>625</v>
      </c>
      <c r="F52" s="73" t="s">
        <v>626</v>
      </c>
      <c r="G52" s="73" t="s">
        <v>627</v>
      </c>
      <c r="H52" s="73" t="s">
        <v>627</v>
      </c>
      <c r="I52" s="217" t="s">
        <v>628</v>
      </c>
      <c r="J52" s="9"/>
    </row>
    <row r="53" spans="1:10">
      <c r="A53" s="91" t="s">
        <v>629</v>
      </c>
      <c r="B53" s="88">
        <v>0</v>
      </c>
      <c r="C53" s="73">
        <v>0</v>
      </c>
      <c r="D53" s="73">
        <v>0</v>
      </c>
      <c r="E53" s="73">
        <v>0</v>
      </c>
      <c r="F53" s="73">
        <v>0</v>
      </c>
      <c r="G53" s="73">
        <v>0</v>
      </c>
      <c r="H53" s="73">
        <v>0</v>
      </c>
      <c r="I53" s="217"/>
      <c r="J53" s="9"/>
    </row>
    <row r="54" spans="1:10" ht="57">
      <c r="A54" s="91" t="s">
        <v>575</v>
      </c>
      <c r="B54" s="88">
        <v>0</v>
      </c>
      <c r="C54" s="73">
        <v>0</v>
      </c>
      <c r="D54" s="73">
        <v>0</v>
      </c>
      <c r="E54" s="73">
        <v>0</v>
      </c>
      <c r="F54" s="73">
        <v>0</v>
      </c>
      <c r="G54" s="73">
        <v>0</v>
      </c>
      <c r="H54" s="73">
        <v>0</v>
      </c>
      <c r="I54" s="217"/>
      <c r="J54" s="99" t="s">
        <v>630</v>
      </c>
    </row>
    <row r="55" spans="1:10" ht="18.600000000000001" customHeight="1">
      <c r="A55" s="212" t="s">
        <v>631</v>
      </c>
      <c r="B55" s="213">
        <v>10</v>
      </c>
      <c r="C55" s="211">
        <v>10</v>
      </c>
      <c r="D55" s="211">
        <v>8</v>
      </c>
      <c r="E55" s="211">
        <v>7</v>
      </c>
      <c r="F55" s="211">
        <v>6</v>
      </c>
      <c r="G55" s="211">
        <v>5</v>
      </c>
      <c r="H55" s="211">
        <v>5</v>
      </c>
      <c r="I55" s="94" t="s">
        <v>628</v>
      </c>
      <c r="J55" s="214" t="s">
        <v>632</v>
      </c>
    </row>
    <row r="56" spans="1:10" ht="22.15" customHeight="1">
      <c r="A56" s="212"/>
      <c r="B56" s="213"/>
      <c r="C56" s="211"/>
      <c r="D56" s="211"/>
      <c r="E56" s="211"/>
      <c r="F56" s="211"/>
      <c r="G56" s="211"/>
      <c r="H56" s="211"/>
      <c r="I56" s="94" t="s">
        <v>633</v>
      </c>
      <c r="J56" s="214"/>
    </row>
    <row r="57" spans="1:10" ht="21.6" customHeight="1">
      <c r="A57" s="212"/>
      <c r="B57" s="213"/>
      <c r="C57" s="211"/>
      <c r="D57" s="211"/>
      <c r="E57" s="211"/>
      <c r="F57" s="211"/>
      <c r="G57" s="211"/>
      <c r="H57" s="211"/>
      <c r="I57" s="94" t="s">
        <v>634</v>
      </c>
      <c r="J57" s="214"/>
    </row>
    <row r="58" spans="1:10" ht="57">
      <c r="A58" s="91" t="s">
        <v>635</v>
      </c>
      <c r="B58" s="88" t="s">
        <v>636</v>
      </c>
      <c r="C58" s="73" t="s">
        <v>636</v>
      </c>
      <c r="D58" s="73" t="s">
        <v>636</v>
      </c>
      <c r="E58" s="73" t="s">
        <v>636</v>
      </c>
      <c r="F58" s="73" t="s">
        <v>636</v>
      </c>
      <c r="G58" s="73" t="s">
        <v>636</v>
      </c>
      <c r="H58" s="73" t="s">
        <v>636</v>
      </c>
      <c r="I58" s="217" t="s">
        <v>637</v>
      </c>
      <c r="J58" s="99" t="s">
        <v>638</v>
      </c>
    </row>
    <row r="59" spans="1:10">
      <c r="A59" s="91" t="s">
        <v>607</v>
      </c>
      <c r="B59" s="88" t="s">
        <v>639</v>
      </c>
      <c r="C59" s="73" t="s">
        <v>639</v>
      </c>
      <c r="D59" s="73" t="s">
        <v>639</v>
      </c>
      <c r="E59" s="73" t="s">
        <v>639</v>
      </c>
      <c r="F59" s="73" t="s">
        <v>639</v>
      </c>
      <c r="G59" s="73" t="s">
        <v>639</v>
      </c>
      <c r="H59" s="73" t="s">
        <v>639</v>
      </c>
      <c r="I59" s="217"/>
      <c r="J59" s="9"/>
    </row>
    <row r="60" spans="1:10" ht="45" customHeight="1">
      <c r="A60" s="91" t="s">
        <v>640</v>
      </c>
      <c r="B60" s="88">
        <v>25</v>
      </c>
      <c r="C60" s="73">
        <v>25</v>
      </c>
      <c r="D60" s="73">
        <v>25</v>
      </c>
      <c r="E60" s="73">
        <v>25</v>
      </c>
      <c r="F60" s="73">
        <v>25</v>
      </c>
      <c r="G60" s="73">
        <v>25</v>
      </c>
      <c r="H60" s="73">
        <v>25</v>
      </c>
      <c r="I60" s="94" t="s">
        <v>633</v>
      </c>
      <c r="J60" s="99" t="s">
        <v>641</v>
      </c>
    </row>
    <row r="61" spans="1:10" ht="28.5">
      <c r="A61" s="108" t="s">
        <v>642</v>
      </c>
      <c r="B61" s="88">
        <v>30</v>
      </c>
      <c r="C61" s="73">
        <v>30</v>
      </c>
      <c r="D61" s="73">
        <v>50</v>
      </c>
      <c r="E61" s="73">
        <v>100</v>
      </c>
      <c r="F61" s="73">
        <v>150</v>
      </c>
      <c r="G61" s="73">
        <v>200</v>
      </c>
      <c r="H61" s="73">
        <v>200</v>
      </c>
      <c r="I61" s="217" t="s">
        <v>620</v>
      </c>
      <c r="J61" s="99" t="s">
        <v>643</v>
      </c>
    </row>
    <row r="62" spans="1:10" ht="14.65" thickBot="1">
      <c r="A62" s="92" t="s">
        <v>611</v>
      </c>
      <c r="B62" s="89">
        <v>40</v>
      </c>
      <c r="C62" s="75">
        <v>40</v>
      </c>
      <c r="D62" s="75">
        <v>40</v>
      </c>
      <c r="E62" s="75">
        <v>40</v>
      </c>
      <c r="F62" s="75">
        <v>40</v>
      </c>
      <c r="G62" s="75">
        <v>40</v>
      </c>
      <c r="H62" s="75">
        <v>40</v>
      </c>
      <c r="I62" s="218"/>
      <c r="J62" s="13"/>
    </row>
    <row r="63" spans="1:10" ht="14.65" thickBot="1">
      <c r="B63" s="35"/>
      <c r="C63" s="35"/>
      <c r="D63" s="35"/>
      <c r="E63" s="35"/>
      <c r="F63" s="35"/>
      <c r="G63" s="35"/>
      <c r="H63" s="35"/>
      <c r="I63" s="96"/>
    </row>
    <row r="64" spans="1:10" ht="14.65" thickBot="1">
      <c r="A64" s="114" t="s">
        <v>644</v>
      </c>
      <c r="B64" s="86">
        <v>2020</v>
      </c>
      <c r="C64" s="80">
        <v>2025</v>
      </c>
      <c r="D64" s="80">
        <v>2030</v>
      </c>
      <c r="E64" s="80">
        <v>2035</v>
      </c>
      <c r="F64" s="80">
        <v>2040</v>
      </c>
      <c r="G64" s="80">
        <v>2045</v>
      </c>
      <c r="H64" s="80">
        <v>2050</v>
      </c>
      <c r="I64" s="81" t="s">
        <v>567</v>
      </c>
      <c r="J64" s="82" t="s">
        <v>568</v>
      </c>
    </row>
    <row r="65" spans="1:10">
      <c r="A65" s="90" t="s">
        <v>619</v>
      </c>
      <c r="B65" s="87">
        <v>1.3</v>
      </c>
      <c r="C65" s="78">
        <v>1.3</v>
      </c>
      <c r="D65" s="78">
        <v>1.3</v>
      </c>
      <c r="E65" s="78">
        <v>1.3</v>
      </c>
      <c r="F65" s="78">
        <v>1.3</v>
      </c>
      <c r="G65" s="78">
        <v>1.3</v>
      </c>
      <c r="H65" s="78">
        <v>1.3</v>
      </c>
      <c r="I65" s="210" t="s">
        <v>576</v>
      </c>
      <c r="J65" s="83"/>
    </row>
    <row r="66" spans="1:10" ht="28.5">
      <c r="A66" s="108" t="s">
        <v>622</v>
      </c>
      <c r="B66" s="88" t="s">
        <v>645</v>
      </c>
      <c r="C66" s="73" t="s">
        <v>645</v>
      </c>
      <c r="D66" s="73" t="s">
        <v>645</v>
      </c>
      <c r="E66" s="73" t="s">
        <v>645</v>
      </c>
      <c r="F66" s="73" t="s">
        <v>645</v>
      </c>
      <c r="G66" s="73" t="s">
        <v>645</v>
      </c>
      <c r="H66" s="73" t="s">
        <v>645</v>
      </c>
      <c r="I66" s="217"/>
      <c r="J66" s="9"/>
    </row>
    <row r="67" spans="1:10">
      <c r="A67" s="91" t="s">
        <v>629</v>
      </c>
      <c r="B67" s="88">
        <v>0</v>
      </c>
      <c r="C67" s="73">
        <v>0</v>
      </c>
      <c r="D67" s="73">
        <v>0</v>
      </c>
      <c r="E67" s="73">
        <v>0</v>
      </c>
      <c r="F67" s="73">
        <v>0</v>
      </c>
      <c r="G67" s="73">
        <v>0</v>
      </c>
      <c r="H67" s="73">
        <v>0</v>
      </c>
      <c r="I67" s="217"/>
      <c r="J67" s="9"/>
    </row>
    <row r="68" spans="1:10" ht="28.9" customHeight="1">
      <c r="A68" s="91" t="s">
        <v>575</v>
      </c>
      <c r="B68" s="88">
        <v>5.9</v>
      </c>
      <c r="C68" s="73">
        <v>5.9</v>
      </c>
      <c r="D68" s="73">
        <v>5.9</v>
      </c>
      <c r="E68" s="73">
        <v>5.9</v>
      </c>
      <c r="F68" s="73">
        <v>5.9</v>
      </c>
      <c r="G68" s="73">
        <v>5.9</v>
      </c>
      <c r="H68" s="73">
        <v>5.9</v>
      </c>
      <c r="I68" s="94" t="s">
        <v>646</v>
      </c>
      <c r="J68" s="99" t="s">
        <v>647</v>
      </c>
    </row>
    <row r="69" spans="1:10">
      <c r="A69" s="91" t="s">
        <v>631</v>
      </c>
      <c r="B69" s="88">
        <v>0.1</v>
      </c>
      <c r="C69" s="73">
        <v>0.1</v>
      </c>
      <c r="D69" s="73">
        <v>0.1</v>
      </c>
      <c r="E69" s="73">
        <v>0.1</v>
      </c>
      <c r="F69" s="73">
        <v>0.1</v>
      </c>
      <c r="G69" s="73">
        <v>0.1</v>
      </c>
      <c r="H69" s="73">
        <v>0.1</v>
      </c>
      <c r="I69" s="217" t="s">
        <v>576</v>
      </c>
      <c r="J69" s="9"/>
    </row>
    <row r="70" spans="1:10" ht="28.5">
      <c r="A70" s="108" t="s">
        <v>648</v>
      </c>
      <c r="B70" s="88">
        <v>4.2000000000000003E-2</v>
      </c>
      <c r="C70" s="73">
        <v>4.2000000000000003E-2</v>
      </c>
      <c r="D70" s="73">
        <v>4.2000000000000003E-2</v>
      </c>
      <c r="E70" s="73">
        <v>4.2000000000000003E-2</v>
      </c>
      <c r="F70" s="73">
        <v>4.2000000000000003E-2</v>
      </c>
      <c r="G70" s="73">
        <v>4.2000000000000003E-2</v>
      </c>
      <c r="H70" s="73">
        <v>4.2000000000000003E-2</v>
      </c>
      <c r="I70" s="217"/>
      <c r="J70" s="9"/>
    </row>
    <row r="71" spans="1:10" ht="14.65" thickBot="1">
      <c r="A71" s="92" t="s">
        <v>611</v>
      </c>
      <c r="B71" s="89">
        <v>10</v>
      </c>
      <c r="C71" s="75">
        <v>10</v>
      </c>
      <c r="D71" s="75">
        <v>10</v>
      </c>
      <c r="E71" s="75">
        <v>10</v>
      </c>
      <c r="F71" s="75">
        <v>10</v>
      </c>
      <c r="G71" s="75">
        <v>10</v>
      </c>
      <c r="H71" s="75">
        <v>10</v>
      </c>
      <c r="I71" s="218"/>
      <c r="J71" s="13"/>
    </row>
    <row r="72" spans="1:10" ht="14.65" thickBot="1">
      <c r="B72" s="35"/>
      <c r="C72" s="35"/>
      <c r="D72" s="35"/>
      <c r="E72" s="35"/>
      <c r="F72" s="35"/>
      <c r="G72" s="35"/>
      <c r="H72" s="35"/>
      <c r="I72" s="96"/>
    </row>
    <row r="73" spans="1:10" ht="28.9" thickBot="1">
      <c r="A73" s="115" t="s">
        <v>649</v>
      </c>
      <c r="B73" s="86">
        <v>2020</v>
      </c>
      <c r="C73" s="80">
        <v>2025</v>
      </c>
      <c r="D73" s="80">
        <v>2030</v>
      </c>
      <c r="E73" s="80">
        <v>2035</v>
      </c>
      <c r="F73" s="80">
        <v>2040</v>
      </c>
      <c r="G73" s="80">
        <v>2045</v>
      </c>
      <c r="H73" s="80">
        <v>2050</v>
      </c>
      <c r="I73" s="107" t="s">
        <v>567</v>
      </c>
      <c r="J73" s="82" t="s">
        <v>568</v>
      </c>
    </row>
    <row r="74" spans="1:10" ht="48.6" customHeight="1">
      <c r="A74" s="90" t="s">
        <v>650</v>
      </c>
      <c r="B74" s="87" t="s">
        <v>651</v>
      </c>
      <c r="C74" s="78">
        <v>579.44100000000003</v>
      </c>
      <c r="D74" s="78">
        <v>579.44100000000003</v>
      </c>
      <c r="E74" s="78">
        <v>579.44100000000003</v>
      </c>
      <c r="F74" s="78">
        <v>579.44100000000003</v>
      </c>
      <c r="G74" s="78">
        <v>579.44100000000003</v>
      </c>
      <c r="H74" s="78">
        <v>579.44100000000003</v>
      </c>
      <c r="I74" s="215" t="s">
        <v>570</v>
      </c>
      <c r="J74" s="103" t="s">
        <v>652</v>
      </c>
    </row>
    <row r="75" spans="1:10" ht="28.5">
      <c r="A75" s="108" t="s">
        <v>653</v>
      </c>
      <c r="B75" s="88" t="s">
        <v>651</v>
      </c>
      <c r="C75" s="73" t="s">
        <v>654</v>
      </c>
      <c r="D75" s="73" t="s">
        <v>654</v>
      </c>
      <c r="E75" s="73" t="s">
        <v>654</v>
      </c>
      <c r="F75" s="73" t="s">
        <v>654</v>
      </c>
      <c r="G75" s="73" t="s">
        <v>654</v>
      </c>
      <c r="H75" s="73" t="s">
        <v>654</v>
      </c>
      <c r="I75" s="216"/>
      <c r="J75" s="9"/>
    </row>
    <row r="76" spans="1:10">
      <c r="A76" s="91" t="s">
        <v>655</v>
      </c>
      <c r="B76" s="88" t="s">
        <v>651</v>
      </c>
      <c r="C76" s="73">
        <v>0</v>
      </c>
      <c r="D76" s="73">
        <v>0</v>
      </c>
      <c r="E76" s="73">
        <v>0</v>
      </c>
      <c r="F76" s="73">
        <v>0</v>
      </c>
      <c r="G76" s="73">
        <v>0</v>
      </c>
      <c r="H76" s="73">
        <v>0</v>
      </c>
      <c r="I76" s="216"/>
      <c r="J76" s="9"/>
    </row>
    <row r="77" spans="1:10">
      <c r="A77" s="91" t="s">
        <v>575</v>
      </c>
      <c r="B77" s="88" t="s">
        <v>651</v>
      </c>
      <c r="C77" s="73">
        <v>1</v>
      </c>
      <c r="D77" s="73">
        <v>1</v>
      </c>
      <c r="E77" s="73">
        <v>1</v>
      </c>
      <c r="F77" s="73">
        <v>1</v>
      </c>
      <c r="G77" s="73">
        <v>1</v>
      </c>
      <c r="H77" s="73">
        <v>1</v>
      </c>
      <c r="I77" s="216"/>
      <c r="J77" s="9"/>
    </row>
    <row r="78" spans="1:10">
      <c r="A78" s="91" t="s">
        <v>656</v>
      </c>
      <c r="B78" s="88" t="s">
        <v>651</v>
      </c>
      <c r="C78" s="73">
        <v>99</v>
      </c>
      <c r="D78" s="73">
        <v>99</v>
      </c>
      <c r="E78" s="73">
        <v>99</v>
      </c>
      <c r="F78" s="73">
        <v>99</v>
      </c>
      <c r="G78" s="73">
        <v>99</v>
      </c>
      <c r="H78" s="73">
        <v>99</v>
      </c>
      <c r="I78" s="216"/>
      <c r="J78" s="9"/>
    </row>
    <row r="79" spans="1:10">
      <c r="A79" s="91" t="s">
        <v>657</v>
      </c>
      <c r="B79" s="88" t="s">
        <v>651</v>
      </c>
      <c r="C79" s="73">
        <v>480</v>
      </c>
      <c r="D79" s="73">
        <v>480</v>
      </c>
      <c r="E79" s="73">
        <v>480</v>
      </c>
      <c r="F79" s="73">
        <v>480</v>
      </c>
      <c r="G79" s="73">
        <v>480</v>
      </c>
      <c r="H79" s="73">
        <v>480</v>
      </c>
      <c r="I79" s="216"/>
      <c r="J79" s="9"/>
    </row>
    <row r="80" spans="1:10" ht="25.9" customHeight="1">
      <c r="A80" s="91" t="s">
        <v>635</v>
      </c>
      <c r="B80" s="88" t="s">
        <v>651</v>
      </c>
      <c r="C80" s="73" t="s">
        <v>44</v>
      </c>
      <c r="D80" s="73" t="s">
        <v>44</v>
      </c>
      <c r="E80" s="73" t="s">
        <v>44</v>
      </c>
      <c r="F80" s="73" t="s">
        <v>44</v>
      </c>
      <c r="G80" s="73" t="s">
        <v>44</v>
      </c>
      <c r="H80" s="73" t="s">
        <v>44</v>
      </c>
      <c r="I80" s="216"/>
      <c r="J80" s="122" t="s">
        <v>658</v>
      </c>
    </row>
    <row r="81" spans="1:11">
      <c r="A81" s="91" t="s">
        <v>607</v>
      </c>
      <c r="B81" s="88" t="s">
        <v>651</v>
      </c>
      <c r="C81" s="138">
        <v>20</v>
      </c>
      <c r="D81" s="138">
        <v>20</v>
      </c>
      <c r="E81" s="138">
        <v>20</v>
      </c>
      <c r="F81" s="138">
        <v>20</v>
      </c>
      <c r="G81" s="138">
        <v>20</v>
      </c>
      <c r="H81" s="138">
        <v>20</v>
      </c>
      <c r="I81" s="216"/>
      <c r="J81" s="9"/>
    </row>
    <row r="82" spans="1:11">
      <c r="A82" s="91" t="s">
        <v>640</v>
      </c>
      <c r="B82" s="88" t="s">
        <v>651</v>
      </c>
      <c r="C82" s="73">
        <v>50</v>
      </c>
      <c r="D82" s="73">
        <v>50</v>
      </c>
      <c r="E82" s="73">
        <v>50</v>
      </c>
      <c r="F82" s="73">
        <v>50</v>
      </c>
      <c r="G82" s="73">
        <v>50</v>
      </c>
      <c r="H82" s="73">
        <v>50</v>
      </c>
      <c r="I82" s="216"/>
      <c r="J82" s="9"/>
    </row>
    <row r="83" spans="1:11" ht="42.75">
      <c r="A83" s="108" t="s">
        <v>659</v>
      </c>
      <c r="B83" s="88" t="s">
        <v>651</v>
      </c>
      <c r="C83" s="73">
        <v>0.73799999999999999</v>
      </c>
      <c r="D83" s="73">
        <v>0.73799999999999999</v>
      </c>
      <c r="E83" s="73">
        <v>0.73799999999999999</v>
      </c>
      <c r="F83" s="73">
        <v>0.73799999999999999</v>
      </c>
      <c r="G83" s="73">
        <v>0.73799999999999999</v>
      </c>
      <c r="H83" s="73">
        <v>0.73799999999999999</v>
      </c>
      <c r="I83" s="216"/>
      <c r="J83" s="99" t="s">
        <v>660</v>
      </c>
      <c r="K83" s="32"/>
    </row>
    <row r="84" spans="1:11">
      <c r="A84" s="91" t="s">
        <v>661</v>
      </c>
      <c r="B84" s="88" t="s">
        <v>651</v>
      </c>
      <c r="C84" s="73">
        <v>2.5950000000000001E-2</v>
      </c>
      <c r="D84" s="73">
        <v>2.5950000000000001E-2</v>
      </c>
      <c r="E84" s="73">
        <v>2.5950000000000001E-2</v>
      </c>
      <c r="F84" s="73">
        <v>2.5950000000000001E-2</v>
      </c>
      <c r="G84" s="73">
        <v>2.5950000000000001E-2</v>
      </c>
      <c r="H84" s="73">
        <v>2.5950000000000001E-2</v>
      </c>
      <c r="I84" s="216"/>
      <c r="J84" s="118"/>
    </row>
    <row r="85" spans="1:11">
      <c r="A85" s="91" t="s">
        <v>662</v>
      </c>
      <c r="B85" s="88" t="s">
        <v>651</v>
      </c>
      <c r="C85" s="73">
        <v>0.1794</v>
      </c>
      <c r="D85" s="73">
        <v>0.1794</v>
      </c>
      <c r="E85" s="73">
        <v>0.1794</v>
      </c>
      <c r="F85" s="73">
        <v>0.1794</v>
      </c>
      <c r="G85" s="73">
        <v>0.1794</v>
      </c>
      <c r="H85" s="73">
        <v>0.1794</v>
      </c>
      <c r="I85" s="216"/>
      <c r="J85" s="121"/>
    </row>
    <row r="86" spans="1:11">
      <c r="A86" s="91" t="s">
        <v>663</v>
      </c>
      <c r="B86" s="88" t="s">
        <v>651</v>
      </c>
      <c r="C86" s="73">
        <v>1000000</v>
      </c>
      <c r="D86" s="73">
        <v>1000000</v>
      </c>
      <c r="E86" s="73">
        <v>1000000</v>
      </c>
      <c r="F86" s="73">
        <v>1000000</v>
      </c>
      <c r="G86" s="73">
        <v>1000000</v>
      </c>
      <c r="H86" s="73">
        <v>1000000</v>
      </c>
      <c r="I86" s="216"/>
      <c r="J86" s="9"/>
    </row>
    <row r="87" spans="1:11" ht="14.65" thickBot="1">
      <c r="A87" s="92" t="s">
        <v>611</v>
      </c>
      <c r="B87" s="89" t="s">
        <v>651</v>
      </c>
      <c r="C87" s="75">
        <v>30</v>
      </c>
      <c r="D87" s="75">
        <v>30</v>
      </c>
      <c r="E87" s="75">
        <v>30</v>
      </c>
      <c r="F87" s="75">
        <v>30</v>
      </c>
      <c r="G87" s="75">
        <v>30</v>
      </c>
      <c r="H87" s="75">
        <v>30</v>
      </c>
      <c r="I87" s="220"/>
      <c r="J87" s="13"/>
    </row>
    <row r="88" spans="1:11" ht="14.65" thickBot="1">
      <c r="B88" s="35"/>
      <c r="C88" s="35"/>
      <c r="D88" s="35"/>
      <c r="E88" s="35"/>
      <c r="F88" s="35"/>
      <c r="G88" s="35"/>
      <c r="H88" s="35"/>
      <c r="I88" s="96"/>
    </row>
    <row r="89" spans="1:11" ht="14.65" thickBot="1">
      <c r="A89" s="114" t="s">
        <v>275</v>
      </c>
      <c r="B89" s="86">
        <v>2020</v>
      </c>
      <c r="C89" s="80">
        <v>2025</v>
      </c>
      <c r="D89" s="80">
        <v>2030</v>
      </c>
      <c r="E89" s="80">
        <v>2035</v>
      </c>
      <c r="F89" s="80">
        <v>2040</v>
      </c>
      <c r="G89" s="80">
        <v>2045</v>
      </c>
      <c r="H89" s="80">
        <v>2050</v>
      </c>
      <c r="I89" s="81" t="s">
        <v>567</v>
      </c>
      <c r="J89" s="82" t="s">
        <v>568</v>
      </c>
    </row>
    <row r="90" spans="1:11">
      <c r="A90" s="90" t="s">
        <v>664</v>
      </c>
      <c r="B90" s="87" t="s">
        <v>651</v>
      </c>
      <c r="C90" s="78">
        <v>4022.16</v>
      </c>
      <c r="D90" s="78">
        <v>4022.16</v>
      </c>
      <c r="E90" s="78">
        <v>4022.16</v>
      </c>
      <c r="F90" s="78">
        <v>4022.16</v>
      </c>
      <c r="G90" s="78">
        <v>4022.16</v>
      </c>
      <c r="H90" s="78">
        <v>4022.16</v>
      </c>
      <c r="I90" s="215" t="s">
        <v>665</v>
      </c>
      <c r="J90" s="83"/>
    </row>
    <row r="91" spans="1:11" ht="28.5">
      <c r="A91" s="108" t="s">
        <v>666</v>
      </c>
      <c r="B91" s="88" t="s">
        <v>651</v>
      </c>
      <c r="C91" s="73" t="s">
        <v>667</v>
      </c>
      <c r="D91" s="73" t="s">
        <v>667</v>
      </c>
      <c r="E91" s="73" t="s">
        <v>667</v>
      </c>
      <c r="F91" s="73" t="s">
        <v>667</v>
      </c>
      <c r="G91" s="73" t="s">
        <v>667</v>
      </c>
      <c r="H91" s="73" t="s">
        <v>667</v>
      </c>
      <c r="I91" s="216"/>
      <c r="J91" s="9"/>
    </row>
    <row r="92" spans="1:11">
      <c r="A92" s="91" t="s">
        <v>668</v>
      </c>
      <c r="B92" s="88" t="s">
        <v>651</v>
      </c>
      <c r="C92" s="73">
        <v>0</v>
      </c>
      <c r="D92" s="73">
        <v>0</v>
      </c>
      <c r="E92" s="73">
        <v>0</v>
      </c>
      <c r="F92" s="73">
        <v>0</v>
      </c>
      <c r="G92" s="73">
        <v>0</v>
      </c>
      <c r="H92" s="73">
        <v>0</v>
      </c>
      <c r="I92" s="216"/>
      <c r="J92" s="9"/>
    </row>
    <row r="93" spans="1:11" ht="42.75">
      <c r="A93" s="91" t="s">
        <v>575</v>
      </c>
      <c r="B93" s="88" t="s">
        <v>651</v>
      </c>
      <c r="C93" s="73">
        <v>1</v>
      </c>
      <c r="D93" s="73">
        <v>1</v>
      </c>
      <c r="E93" s="73">
        <v>1</v>
      </c>
      <c r="F93" s="73">
        <v>1</v>
      </c>
      <c r="G93" s="73">
        <v>1</v>
      </c>
      <c r="H93" s="73">
        <v>1</v>
      </c>
      <c r="I93" s="216" t="s">
        <v>570</v>
      </c>
      <c r="J93" s="102" t="s">
        <v>669</v>
      </c>
    </row>
    <row r="94" spans="1:11">
      <c r="A94" s="91" t="s">
        <v>656</v>
      </c>
      <c r="B94" s="88" t="s">
        <v>651</v>
      </c>
      <c r="C94" s="73">
        <v>99</v>
      </c>
      <c r="D94" s="73">
        <v>99</v>
      </c>
      <c r="E94" s="73">
        <v>99</v>
      </c>
      <c r="F94" s="73">
        <v>99</v>
      </c>
      <c r="G94" s="73">
        <v>99</v>
      </c>
      <c r="H94" s="73">
        <v>99</v>
      </c>
      <c r="I94" s="216"/>
      <c r="J94" s="9"/>
    </row>
    <row r="95" spans="1:11">
      <c r="A95" s="91" t="s">
        <v>657</v>
      </c>
      <c r="B95" s="88" t="s">
        <v>651</v>
      </c>
      <c r="C95" s="73">
        <v>250</v>
      </c>
      <c r="D95" s="73">
        <v>250</v>
      </c>
      <c r="E95" s="73">
        <v>250</v>
      </c>
      <c r="F95" s="73">
        <v>250</v>
      </c>
      <c r="G95" s="73">
        <v>250</v>
      </c>
      <c r="H95" s="73">
        <v>250</v>
      </c>
      <c r="I95" s="216" t="s">
        <v>670</v>
      </c>
      <c r="J95" s="9"/>
    </row>
    <row r="96" spans="1:11" ht="28.5">
      <c r="A96" s="91" t="s">
        <v>635</v>
      </c>
      <c r="B96" s="88" t="s">
        <v>651</v>
      </c>
      <c r="C96" s="73" t="s">
        <v>44</v>
      </c>
      <c r="D96" s="73" t="s">
        <v>44</v>
      </c>
      <c r="E96" s="73" t="s">
        <v>44</v>
      </c>
      <c r="F96" s="73" t="s">
        <v>44</v>
      </c>
      <c r="G96" s="73" t="s">
        <v>44</v>
      </c>
      <c r="H96" s="73" t="s">
        <v>44</v>
      </c>
      <c r="I96" s="216"/>
      <c r="J96" s="122" t="s">
        <v>671</v>
      </c>
    </row>
    <row r="97" spans="1:10" ht="15" customHeight="1">
      <c r="A97" s="91" t="s">
        <v>607</v>
      </c>
      <c r="B97" s="88" t="s">
        <v>651</v>
      </c>
      <c r="C97" s="73">
        <v>50</v>
      </c>
      <c r="D97" s="73">
        <v>50</v>
      </c>
      <c r="E97" s="73">
        <v>50</v>
      </c>
      <c r="F97" s="73">
        <v>50</v>
      </c>
      <c r="G97" s="73">
        <v>50</v>
      </c>
      <c r="H97" s="73">
        <v>50</v>
      </c>
      <c r="I97" s="94" t="s">
        <v>672</v>
      </c>
      <c r="J97" s="9"/>
    </row>
    <row r="98" spans="1:10" ht="14.45" customHeight="1">
      <c r="A98" s="91" t="s">
        <v>640</v>
      </c>
      <c r="B98" s="88" t="s">
        <v>651</v>
      </c>
      <c r="C98" s="73">
        <v>10</v>
      </c>
      <c r="D98" s="73">
        <v>10</v>
      </c>
      <c r="E98" s="73">
        <v>10</v>
      </c>
      <c r="F98" s="73">
        <v>10</v>
      </c>
      <c r="G98" s="73">
        <v>10</v>
      </c>
      <c r="H98" s="73">
        <v>10</v>
      </c>
      <c r="I98" s="94" t="s">
        <v>673</v>
      </c>
      <c r="J98" s="9"/>
    </row>
    <row r="99" spans="1:10" ht="28.5">
      <c r="A99" s="108" t="s">
        <v>674</v>
      </c>
      <c r="B99" s="88" t="s">
        <v>651</v>
      </c>
      <c r="C99" s="73">
        <v>0.18840000000000001</v>
      </c>
      <c r="D99" s="73">
        <v>0.18840000000000001</v>
      </c>
      <c r="E99" s="73">
        <v>0.18840000000000001</v>
      </c>
      <c r="F99" s="73">
        <v>0.18840000000000001</v>
      </c>
      <c r="G99" s="73">
        <v>0.18840000000000001</v>
      </c>
      <c r="H99" s="73">
        <v>0.18840000000000001</v>
      </c>
      <c r="I99" s="216" t="s">
        <v>665</v>
      </c>
      <c r="J99" s="214" t="s">
        <v>675</v>
      </c>
    </row>
    <row r="100" spans="1:10">
      <c r="A100" s="91" t="s">
        <v>676</v>
      </c>
      <c r="B100" s="88" t="s">
        <v>651</v>
      </c>
      <c r="C100" s="73">
        <v>1.2742</v>
      </c>
      <c r="D100" s="73">
        <v>1.2742</v>
      </c>
      <c r="E100" s="73">
        <v>1.2742</v>
      </c>
      <c r="F100" s="73">
        <v>1.2742</v>
      </c>
      <c r="G100" s="73">
        <v>1.2742</v>
      </c>
      <c r="H100" s="73">
        <v>1.2742</v>
      </c>
      <c r="I100" s="216"/>
      <c r="J100" s="214"/>
    </row>
    <row r="101" spans="1:10">
      <c r="A101" s="91" t="s">
        <v>677</v>
      </c>
      <c r="B101" s="88" t="s">
        <v>651</v>
      </c>
      <c r="C101" s="73">
        <v>2.7699999999999999E-2</v>
      </c>
      <c r="D101" s="73">
        <v>2.7699999999999999E-2</v>
      </c>
      <c r="E101" s="73">
        <v>2.7699999999999999E-2</v>
      </c>
      <c r="F101" s="73">
        <v>2.7699999999999999E-2</v>
      </c>
      <c r="G101" s="73">
        <v>2.7699999999999999E-2</v>
      </c>
      <c r="H101" s="73">
        <v>2.7699999999999999E-2</v>
      </c>
      <c r="I101" s="216"/>
      <c r="J101" s="214"/>
    </row>
    <row r="102" spans="1:10">
      <c r="A102" s="91" t="s">
        <v>678</v>
      </c>
      <c r="B102" s="88" t="s">
        <v>651</v>
      </c>
      <c r="C102" s="73">
        <v>0.20699999999999999</v>
      </c>
      <c r="D102" s="73">
        <v>0.20699999999999999</v>
      </c>
      <c r="E102" s="73">
        <v>0.20699999999999999</v>
      </c>
      <c r="F102" s="73">
        <v>0.20699999999999999</v>
      </c>
      <c r="G102" s="73">
        <v>0.20699999999999999</v>
      </c>
      <c r="H102" s="73">
        <v>0.20699999999999999</v>
      </c>
      <c r="I102" s="216"/>
      <c r="J102" s="214"/>
    </row>
    <row r="103" spans="1:10">
      <c r="A103" s="91" t="s">
        <v>663</v>
      </c>
      <c r="B103" s="88" t="s">
        <v>651</v>
      </c>
      <c r="C103" s="73" t="s">
        <v>651</v>
      </c>
      <c r="D103" s="73" t="s">
        <v>651</v>
      </c>
      <c r="E103" s="73" t="s">
        <v>651</v>
      </c>
      <c r="F103" s="73" t="s">
        <v>651</v>
      </c>
      <c r="G103" s="73" t="s">
        <v>651</v>
      </c>
      <c r="H103" s="73" t="s">
        <v>651</v>
      </c>
      <c r="I103" s="216"/>
      <c r="J103" s="9"/>
    </row>
    <row r="104" spans="1:10" ht="14.65" thickBot="1">
      <c r="A104" s="92" t="s">
        <v>611</v>
      </c>
      <c r="B104" s="89" t="s">
        <v>651</v>
      </c>
      <c r="C104" s="75">
        <v>30</v>
      </c>
      <c r="D104" s="75">
        <v>30</v>
      </c>
      <c r="E104" s="75">
        <v>30</v>
      </c>
      <c r="F104" s="75">
        <v>30</v>
      </c>
      <c r="G104" s="75">
        <v>30</v>
      </c>
      <c r="H104" s="75">
        <v>30</v>
      </c>
      <c r="I104" s="220"/>
      <c r="J104" s="13"/>
    </row>
    <row r="105" spans="1:10" ht="14.65" thickBot="1">
      <c r="B105" s="35"/>
      <c r="C105" s="35"/>
      <c r="D105" s="35"/>
      <c r="E105" s="35"/>
      <c r="F105" s="35"/>
      <c r="G105" s="35"/>
      <c r="H105" s="35"/>
      <c r="I105" s="96"/>
    </row>
    <row r="106" spans="1:10" ht="28.9" thickBot="1">
      <c r="A106" s="115" t="s">
        <v>679</v>
      </c>
      <c r="B106" s="86">
        <v>2020</v>
      </c>
      <c r="C106" s="80">
        <v>2025</v>
      </c>
      <c r="D106" s="80">
        <v>2030</v>
      </c>
      <c r="E106" s="80">
        <v>2035</v>
      </c>
      <c r="F106" s="80">
        <v>2040</v>
      </c>
      <c r="G106" s="80">
        <v>2045</v>
      </c>
      <c r="H106" s="80">
        <v>2050</v>
      </c>
      <c r="I106" s="107" t="s">
        <v>567</v>
      </c>
      <c r="J106" s="82" t="s">
        <v>568</v>
      </c>
    </row>
    <row r="107" spans="1:10">
      <c r="A107" s="90" t="s">
        <v>680</v>
      </c>
      <c r="B107" s="87">
        <v>6977.84</v>
      </c>
      <c r="C107" s="78">
        <v>5115.2299999999996</v>
      </c>
      <c r="D107" s="78">
        <v>3864.22</v>
      </c>
      <c r="E107" s="78">
        <v>3433.32</v>
      </c>
      <c r="F107" s="78">
        <v>3141.42</v>
      </c>
      <c r="G107" s="78">
        <v>2835.62</v>
      </c>
      <c r="H107" s="78">
        <v>2641.02</v>
      </c>
      <c r="I107" s="210" t="s">
        <v>628</v>
      </c>
      <c r="J107" s="83"/>
    </row>
    <row r="108" spans="1:10" ht="28.5">
      <c r="A108" s="108" t="s">
        <v>681</v>
      </c>
      <c r="B108" s="88" t="s">
        <v>682</v>
      </c>
      <c r="C108" s="88" t="s">
        <v>683</v>
      </c>
      <c r="D108" s="88" t="s">
        <v>684</v>
      </c>
      <c r="E108" s="88" t="s">
        <v>685</v>
      </c>
      <c r="F108" s="88" t="s">
        <v>686</v>
      </c>
      <c r="G108" s="88" t="s">
        <v>687</v>
      </c>
      <c r="H108" s="88" t="s">
        <v>688</v>
      </c>
      <c r="I108" s="217"/>
      <c r="J108" s="9"/>
    </row>
    <row r="109" spans="1:10">
      <c r="A109" s="91" t="s">
        <v>689</v>
      </c>
      <c r="B109" s="88">
        <v>2.7799999999999998E-2</v>
      </c>
      <c r="C109" s="73">
        <v>2.7799999999999998E-2</v>
      </c>
      <c r="D109" s="73">
        <v>2.7799999999999998E-2</v>
      </c>
      <c r="E109" s="73">
        <v>2.7799999999999998E-2</v>
      </c>
      <c r="F109" s="73">
        <v>2.7799999999999998E-2</v>
      </c>
      <c r="G109" s="73">
        <v>2.7799999999999998E-2</v>
      </c>
      <c r="H109" s="73">
        <v>2.7799999999999998E-2</v>
      </c>
      <c r="I109" s="217"/>
      <c r="J109" s="9"/>
    </row>
    <row r="110" spans="1:10">
      <c r="A110" s="91" t="s">
        <v>575</v>
      </c>
      <c r="B110" s="88">
        <v>0</v>
      </c>
      <c r="C110" s="73">
        <v>0</v>
      </c>
      <c r="D110" s="73">
        <v>0</v>
      </c>
      <c r="E110" s="73">
        <v>0</v>
      </c>
      <c r="F110" s="73">
        <v>0</v>
      </c>
      <c r="G110" s="73">
        <v>0</v>
      </c>
      <c r="H110" s="73">
        <v>0</v>
      </c>
      <c r="I110" s="217"/>
      <c r="J110" s="9"/>
    </row>
    <row r="111" spans="1:10">
      <c r="A111" s="91" t="s">
        <v>656</v>
      </c>
      <c r="B111" s="88">
        <v>100</v>
      </c>
      <c r="C111" s="73">
        <v>100</v>
      </c>
      <c r="D111" s="73">
        <v>100</v>
      </c>
      <c r="E111" s="73">
        <v>100</v>
      </c>
      <c r="F111" s="73">
        <v>100</v>
      </c>
      <c r="G111" s="73">
        <v>100</v>
      </c>
      <c r="H111" s="73">
        <v>100</v>
      </c>
      <c r="I111" s="217"/>
      <c r="J111" s="9"/>
    </row>
    <row r="112" spans="1:10">
      <c r="A112" s="91" t="s">
        <v>657</v>
      </c>
      <c r="B112" s="88" t="s">
        <v>690</v>
      </c>
      <c r="C112" s="73" t="s">
        <v>690</v>
      </c>
      <c r="D112" s="73" t="s">
        <v>690</v>
      </c>
      <c r="E112" s="73" t="s">
        <v>690</v>
      </c>
      <c r="F112" s="73" t="s">
        <v>690</v>
      </c>
      <c r="G112" s="73" t="s">
        <v>690</v>
      </c>
      <c r="H112" s="73" t="s">
        <v>690</v>
      </c>
      <c r="I112" s="97"/>
      <c r="J112" s="9" t="s">
        <v>691</v>
      </c>
    </row>
    <row r="113" spans="1:10">
      <c r="A113" s="91" t="s">
        <v>635</v>
      </c>
      <c r="B113" s="88" t="s">
        <v>44</v>
      </c>
      <c r="C113" s="73" t="s">
        <v>44</v>
      </c>
      <c r="D113" s="73" t="s">
        <v>44</v>
      </c>
      <c r="E113" s="73" t="s">
        <v>44</v>
      </c>
      <c r="F113" s="73" t="s">
        <v>44</v>
      </c>
      <c r="G113" s="73" t="s">
        <v>44</v>
      </c>
      <c r="H113" s="73" t="s">
        <v>44</v>
      </c>
      <c r="I113" s="97"/>
      <c r="J113" s="9" t="s">
        <v>692</v>
      </c>
    </row>
    <row r="114" spans="1:10">
      <c r="A114" s="91" t="s">
        <v>607</v>
      </c>
      <c r="B114" s="88">
        <v>100</v>
      </c>
      <c r="C114" s="73">
        <v>100</v>
      </c>
      <c r="D114" s="73">
        <v>100</v>
      </c>
      <c r="E114" s="73">
        <v>100</v>
      </c>
      <c r="F114" s="73">
        <v>100</v>
      </c>
      <c r="G114" s="73">
        <v>100</v>
      </c>
      <c r="H114" s="73">
        <v>100</v>
      </c>
      <c r="I114" s="217" t="s">
        <v>693</v>
      </c>
      <c r="J114" s="9"/>
    </row>
    <row r="115" spans="1:10">
      <c r="A115" s="91" t="s">
        <v>640</v>
      </c>
      <c r="B115" s="88">
        <v>40</v>
      </c>
      <c r="C115" s="73">
        <v>40</v>
      </c>
      <c r="D115" s="73">
        <v>40</v>
      </c>
      <c r="E115" s="73">
        <v>40</v>
      </c>
      <c r="F115" s="73">
        <v>40</v>
      </c>
      <c r="G115" s="73">
        <v>40</v>
      </c>
      <c r="H115" s="73">
        <v>40</v>
      </c>
      <c r="I115" s="217"/>
      <c r="J115" s="9"/>
    </row>
    <row r="116" spans="1:10">
      <c r="A116" s="91" t="s">
        <v>694</v>
      </c>
      <c r="B116" s="88">
        <v>2.4742199999999999</v>
      </c>
      <c r="C116" s="73">
        <v>2.4742199999999999</v>
      </c>
      <c r="D116" s="73">
        <v>2.4742199999999999</v>
      </c>
      <c r="E116" s="73">
        <v>2.4742199999999999</v>
      </c>
      <c r="F116" s="73">
        <v>2.4742199999999999</v>
      </c>
      <c r="G116" s="73">
        <v>2.4742199999999999</v>
      </c>
      <c r="H116" s="73">
        <v>2.4742199999999999</v>
      </c>
      <c r="I116" s="216" t="s">
        <v>628</v>
      </c>
      <c r="J116" s="9"/>
    </row>
    <row r="117" spans="1:10" ht="42.75">
      <c r="A117" s="91" t="s">
        <v>695</v>
      </c>
      <c r="B117" s="88">
        <v>0.54159999999999997</v>
      </c>
      <c r="C117" s="73">
        <v>0.54159999999999997</v>
      </c>
      <c r="D117" s="73">
        <v>0.54159999999999997</v>
      </c>
      <c r="E117" s="73">
        <v>0.54159999999999997</v>
      </c>
      <c r="F117" s="73">
        <v>0.54159999999999997</v>
      </c>
      <c r="G117" s="73">
        <v>0.54159999999999997</v>
      </c>
      <c r="H117" s="73">
        <v>0.54159999999999997</v>
      </c>
      <c r="I117" s="216"/>
      <c r="J117" s="102" t="s">
        <v>696</v>
      </c>
    </row>
    <row r="118" spans="1:10">
      <c r="A118" s="91" t="s">
        <v>663</v>
      </c>
      <c r="B118" s="88" t="s">
        <v>651</v>
      </c>
      <c r="C118" s="73" t="s">
        <v>651</v>
      </c>
      <c r="D118" s="73" t="s">
        <v>651</v>
      </c>
      <c r="E118" s="73" t="s">
        <v>651</v>
      </c>
      <c r="F118" s="73" t="s">
        <v>651</v>
      </c>
      <c r="G118" s="73" t="s">
        <v>651</v>
      </c>
      <c r="H118" s="73" t="s">
        <v>651</v>
      </c>
      <c r="I118" s="216"/>
      <c r="J118" s="9"/>
    </row>
    <row r="119" spans="1:10" ht="14.65" thickBot="1">
      <c r="A119" s="92" t="s">
        <v>611</v>
      </c>
      <c r="B119" s="89">
        <v>30</v>
      </c>
      <c r="C119" s="75">
        <v>30</v>
      </c>
      <c r="D119" s="75">
        <v>30</v>
      </c>
      <c r="E119" s="75">
        <v>30</v>
      </c>
      <c r="F119" s="75">
        <v>30</v>
      </c>
      <c r="G119" s="75">
        <v>30</v>
      </c>
      <c r="H119" s="75">
        <v>30</v>
      </c>
      <c r="I119" s="220"/>
      <c r="J119" s="13"/>
    </row>
    <row r="120" spans="1:10" ht="14.65" thickBot="1">
      <c r="B120" s="35"/>
      <c r="C120" s="35"/>
      <c r="D120" s="35"/>
      <c r="E120" s="35"/>
      <c r="F120" s="35"/>
      <c r="G120" s="35"/>
      <c r="H120" s="35"/>
      <c r="I120" s="96"/>
    </row>
    <row r="121" spans="1:10" ht="28.9" thickBot="1">
      <c r="A121" s="115" t="s">
        <v>697</v>
      </c>
      <c r="B121" s="86">
        <v>2020</v>
      </c>
      <c r="C121" s="80">
        <v>2025</v>
      </c>
      <c r="D121" s="80">
        <v>2030</v>
      </c>
      <c r="E121" s="80">
        <v>2035</v>
      </c>
      <c r="F121" s="80">
        <v>2040</v>
      </c>
      <c r="G121" s="80">
        <v>2045</v>
      </c>
      <c r="H121" s="80">
        <v>2050</v>
      </c>
      <c r="I121" s="107" t="s">
        <v>567</v>
      </c>
      <c r="J121" s="82" t="s">
        <v>568</v>
      </c>
    </row>
    <row r="122" spans="1:10">
      <c r="A122" s="90" t="s">
        <v>619</v>
      </c>
      <c r="B122" s="87">
        <v>0</v>
      </c>
      <c r="C122" s="78">
        <v>0</v>
      </c>
      <c r="D122" s="78">
        <v>0</v>
      </c>
      <c r="E122" s="78">
        <v>0</v>
      </c>
      <c r="F122" s="78">
        <v>0</v>
      </c>
      <c r="G122" s="78">
        <v>0</v>
      </c>
      <c r="H122" s="78">
        <v>0</v>
      </c>
      <c r="I122" s="139"/>
      <c r="J122" s="219" t="s">
        <v>698</v>
      </c>
    </row>
    <row r="123" spans="1:10" ht="28.5">
      <c r="A123" s="108" t="s">
        <v>699</v>
      </c>
      <c r="B123" s="88">
        <v>0</v>
      </c>
      <c r="C123" s="73">
        <v>0</v>
      </c>
      <c r="D123" s="73">
        <v>0</v>
      </c>
      <c r="E123" s="73">
        <v>0</v>
      </c>
      <c r="F123" s="73">
        <v>0</v>
      </c>
      <c r="G123" s="73">
        <v>0</v>
      </c>
      <c r="H123" s="73">
        <v>0</v>
      </c>
      <c r="I123" s="97"/>
      <c r="J123" s="214"/>
    </row>
    <row r="124" spans="1:10">
      <c r="A124" s="91" t="s">
        <v>629</v>
      </c>
      <c r="B124" s="88">
        <v>0</v>
      </c>
      <c r="C124" s="73">
        <v>0</v>
      </c>
      <c r="D124" s="73">
        <v>0</v>
      </c>
      <c r="E124" s="73">
        <v>0</v>
      </c>
      <c r="F124" s="73">
        <v>0</v>
      </c>
      <c r="G124" s="73">
        <v>0</v>
      </c>
      <c r="H124" s="73">
        <v>0</v>
      </c>
      <c r="I124" s="97"/>
      <c r="J124" s="214"/>
    </row>
    <row r="125" spans="1:10" ht="13.15" customHeight="1">
      <c r="A125" s="91" t="s">
        <v>575</v>
      </c>
      <c r="B125" s="88">
        <v>0</v>
      </c>
      <c r="C125" s="73">
        <v>0</v>
      </c>
      <c r="D125" s="73">
        <v>0</v>
      </c>
      <c r="E125" s="73">
        <v>0</v>
      </c>
      <c r="F125" s="73">
        <v>0</v>
      </c>
      <c r="G125" s="73">
        <v>0</v>
      </c>
      <c r="H125" s="73">
        <v>0</v>
      </c>
      <c r="I125" s="97"/>
      <c r="J125" s="214"/>
    </row>
    <row r="126" spans="1:10" ht="2.4500000000000002" hidden="1" customHeight="1">
      <c r="A126" s="91" t="s">
        <v>631</v>
      </c>
      <c r="B126" s="88">
        <v>0</v>
      </c>
      <c r="C126" s="73">
        <v>0</v>
      </c>
      <c r="D126" s="73">
        <v>0</v>
      </c>
      <c r="E126" s="73">
        <v>0</v>
      </c>
      <c r="F126" s="73">
        <v>0</v>
      </c>
      <c r="G126" s="73">
        <v>0</v>
      </c>
      <c r="H126" s="73">
        <v>0</v>
      </c>
      <c r="I126" s="97"/>
      <c r="J126" s="214"/>
    </row>
    <row r="127" spans="1:10" ht="7.9" hidden="1" customHeight="1">
      <c r="A127" s="91" t="s">
        <v>648</v>
      </c>
      <c r="B127" s="88" t="s">
        <v>651</v>
      </c>
      <c r="C127" s="73" t="s">
        <v>651</v>
      </c>
      <c r="D127" s="73" t="s">
        <v>651</v>
      </c>
      <c r="E127" s="73" t="s">
        <v>651</v>
      </c>
      <c r="F127" s="73" t="s">
        <v>651</v>
      </c>
      <c r="G127" s="73" t="s">
        <v>651</v>
      </c>
      <c r="H127" s="73" t="s">
        <v>651</v>
      </c>
      <c r="I127" s="97"/>
      <c r="J127" s="214"/>
    </row>
    <row r="128" spans="1:10" ht="14.65" thickBot="1">
      <c r="A128" s="92" t="s">
        <v>611</v>
      </c>
      <c r="B128" s="89">
        <v>30</v>
      </c>
      <c r="C128" s="75">
        <v>30</v>
      </c>
      <c r="D128" s="75">
        <v>30</v>
      </c>
      <c r="E128" s="75">
        <v>30</v>
      </c>
      <c r="F128" s="75">
        <v>30</v>
      </c>
      <c r="G128" s="75">
        <v>30</v>
      </c>
      <c r="H128" s="75">
        <v>30</v>
      </c>
      <c r="I128" s="100"/>
      <c r="J128" s="13" t="s">
        <v>700</v>
      </c>
    </row>
    <row r="129" spans="1:10" ht="14.65" thickBot="1">
      <c r="B129" s="35"/>
      <c r="C129" s="35"/>
      <c r="D129" s="35"/>
      <c r="E129" s="35"/>
      <c r="F129" s="35"/>
      <c r="G129" s="35"/>
      <c r="H129" s="35"/>
      <c r="I129" s="96"/>
    </row>
    <row r="130" spans="1:10" ht="14.65" thickBot="1">
      <c r="A130" s="114" t="s">
        <v>701</v>
      </c>
      <c r="B130" s="86">
        <v>2020</v>
      </c>
      <c r="C130" s="80">
        <v>2025</v>
      </c>
      <c r="D130" s="80">
        <v>2030</v>
      </c>
      <c r="E130" s="80">
        <v>2035</v>
      </c>
      <c r="F130" s="80">
        <v>2040</v>
      </c>
      <c r="G130" s="80">
        <v>2045</v>
      </c>
      <c r="H130" s="80">
        <v>2050</v>
      </c>
      <c r="I130" s="81" t="s">
        <v>567</v>
      </c>
      <c r="J130" s="82" t="s">
        <v>568</v>
      </c>
    </row>
    <row r="131" spans="1:10" ht="114">
      <c r="A131" s="90" t="s">
        <v>702</v>
      </c>
      <c r="B131" s="87">
        <v>1.109</v>
      </c>
      <c r="C131" s="78">
        <v>1.109</v>
      </c>
      <c r="D131" s="78">
        <v>1.109</v>
      </c>
      <c r="E131" s="78">
        <v>1.109</v>
      </c>
      <c r="F131" s="78">
        <v>1.109</v>
      </c>
      <c r="G131" s="78">
        <v>1.109</v>
      </c>
      <c r="H131" s="78">
        <v>1.109</v>
      </c>
      <c r="I131" s="215" t="s">
        <v>703</v>
      </c>
      <c r="J131" s="98" t="s">
        <v>704</v>
      </c>
    </row>
    <row r="132" spans="1:10" ht="28.5">
      <c r="A132" s="108" t="s">
        <v>705</v>
      </c>
      <c r="B132" s="88" t="s">
        <v>706</v>
      </c>
      <c r="C132" s="73" t="s">
        <v>706</v>
      </c>
      <c r="D132" s="73" t="s">
        <v>706</v>
      </c>
      <c r="E132" s="73" t="s">
        <v>706</v>
      </c>
      <c r="F132" s="73" t="s">
        <v>706</v>
      </c>
      <c r="G132" s="73" t="s">
        <v>706</v>
      </c>
      <c r="H132" s="73" t="s">
        <v>706</v>
      </c>
      <c r="I132" s="216"/>
      <c r="J132" s="9"/>
    </row>
    <row r="133" spans="1:10">
      <c r="A133" s="91" t="s">
        <v>707</v>
      </c>
      <c r="B133" s="88">
        <v>0</v>
      </c>
      <c r="C133" s="73">
        <v>0</v>
      </c>
      <c r="D133" s="73">
        <v>0</v>
      </c>
      <c r="E133" s="73">
        <v>0</v>
      </c>
      <c r="F133" s="73">
        <v>0</v>
      </c>
      <c r="G133" s="73">
        <v>0</v>
      </c>
      <c r="H133" s="73">
        <v>0</v>
      </c>
      <c r="I133" s="216"/>
      <c r="J133" s="9"/>
    </row>
    <row r="134" spans="1:10" ht="28.5">
      <c r="A134" s="91" t="s">
        <v>575</v>
      </c>
      <c r="B134" s="88">
        <v>0.5</v>
      </c>
      <c r="C134" s="73">
        <v>0.5</v>
      </c>
      <c r="D134" s="73">
        <v>0.5</v>
      </c>
      <c r="E134" s="73">
        <v>0.5</v>
      </c>
      <c r="F134" s="73">
        <v>0.5</v>
      </c>
      <c r="G134" s="73">
        <v>0.5</v>
      </c>
      <c r="H134" s="73">
        <v>0.5</v>
      </c>
      <c r="I134" s="97"/>
      <c r="J134" s="99" t="s">
        <v>708</v>
      </c>
    </row>
    <row r="135" spans="1:10">
      <c r="A135" s="91" t="s">
        <v>635</v>
      </c>
      <c r="B135" s="88">
        <v>200</v>
      </c>
      <c r="C135" s="73">
        <v>200</v>
      </c>
      <c r="D135" s="73">
        <v>200</v>
      </c>
      <c r="E135" s="73">
        <v>200</v>
      </c>
      <c r="F135" s="73">
        <v>200</v>
      </c>
      <c r="G135" s="73">
        <v>200</v>
      </c>
      <c r="H135" s="73">
        <v>200</v>
      </c>
      <c r="I135" s="216" t="s">
        <v>703</v>
      </c>
      <c r="J135" s="9"/>
    </row>
    <row r="136" spans="1:10">
      <c r="A136" s="91" t="s">
        <v>709</v>
      </c>
      <c r="B136" s="88">
        <v>70</v>
      </c>
      <c r="C136" s="73">
        <v>70</v>
      </c>
      <c r="D136" s="73">
        <v>70</v>
      </c>
      <c r="E136" s="73">
        <v>70</v>
      </c>
      <c r="F136" s="73">
        <v>70</v>
      </c>
      <c r="G136" s="73">
        <v>70</v>
      </c>
      <c r="H136" s="73">
        <v>70</v>
      </c>
      <c r="I136" s="216"/>
      <c r="J136" s="9"/>
    </row>
    <row r="137" spans="1:10">
      <c r="A137" s="91" t="s">
        <v>710</v>
      </c>
      <c r="B137" s="88">
        <v>0.28999999999999998</v>
      </c>
      <c r="C137" s="73">
        <v>0.28999999999999998</v>
      </c>
      <c r="D137" s="73">
        <v>0.28999999999999998</v>
      </c>
      <c r="E137" s="73">
        <v>0.28999999999999998</v>
      </c>
      <c r="F137" s="73">
        <v>0.28999999999999998</v>
      </c>
      <c r="G137" s="73">
        <v>0.28999999999999998</v>
      </c>
      <c r="H137" s="73">
        <v>0.28999999999999998</v>
      </c>
      <c r="I137" s="216"/>
      <c r="J137" s="9"/>
    </row>
    <row r="138" spans="1:10" ht="16.149999999999999" customHeight="1" thickBot="1">
      <c r="A138" s="92" t="s">
        <v>611</v>
      </c>
      <c r="B138" s="89">
        <v>25</v>
      </c>
      <c r="C138" s="75">
        <v>25</v>
      </c>
      <c r="D138" s="75">
        <v>25</v>
      </c>
      <c r="E138" s="75">
        <v>25</v>
      </c>
      <c r="F138" s="75">
        <v>25</v>
      </c>
      <c r="G138" s="75">
        <v>25</v>
      </c>
      <c r="H138" s="75">
        <v>25</v>
      </c>
      <c r="I138" s="95" t="s">
        <v>711</v>
      </c>
      <c r="J138" s="13"/>
    </row>
    <row r="139" spans="1:10" ht="14.65" thickBot="1">
      <c r="B139" s="35"/>
      <c r="C139" s="35"/>
      <c r="D139" s="35"/>
      <c r="E139" s="35"/>
      <c r="F139" s="35"/>
      <c r="G139" s="35"/>
      <c r="H139" s="35"/>
      <c r="I139" s="96"/>
    </row>
    <row r="140" spans="1:10" ht="14.65" thickBot="1">
      <c r="A140" s="114" t="s">
        <v>264</v>
      </c>
      <c r="B140" s="86">
        <v>2020</v>
      </c>
      <c r="C140" s="80">
        <v>2025</v>
      </c>
      <c r="D140" s="80">
        <v>2030</v>
      </c>
      <c r="E140" s="80">
        <v>2035</v>
      </c>
      <c r="F140" s="80">
        <v>2040</v>
      </c>
      <c r="G140" s="80">
        <v>2045</v>
      </c>
      <c r="H140" s="80">
        <v>2050</v>
      </c>
      <c r="I140" s="81" t="s">
        <v>567</v>
      </c>
      <c r="J140" s="82" t="s">
        <v>568</v>
      </c>
    </row>
    <row r="141" spans="1:10" ht="42.75">
      <c r="A141" s="90" t="s">
        <v>619</v>
      </c>
      <c r="B141" s="87">
        <v>185.25</v>
      </c>
      <c r="C141" s="78">
        <v>185.25</v>
      </c>
      <c r="D141" s="78">
        <v>185.25</v>
      </c>
      <c r="E141" s="78">
        <v>185.25</v>
      </c>
      <c r="F141" s="78">
        <v>185.25</v>
      </c>
      <c r="G141" s="78">
        <v>185.25</v>
      </c>
      <c r="H141" s="78">
        <v>185.25</v>
      </c>
      <c r="I141" s="93" t="s">
        <v>712</v>
      </c>
      <c r="J141" s="140" t="s">
        <v>713</v>
      </c>
    </row>
    <row r="142" spans="1:10" ht="28.5">
      <c r="A142" s="108" t="s">
        <v>699</v>
      </c>
      <c r="B142" s="88" t="s">
        <v>714</v>
      </c>
      <c r="C142" s="73" t="s">
        <v>714</v>
      </c>
      <c r="D142" s="73" t="s">
        <v>714</v>
      </c>
      <c r="E142" s="73" t="s">
        <v>714</v>
      </c>
      <c r="F142" s="73" t="s">
        <v>714</v>
      </c>
      <c r="G142" s="73" t="s">
        <v>714</v>
      </c>
      <c r="H142" s="73" t="s">
        <v>714</v>
      </c>
      <c r="I142" s="216" t="s">
        <v>576</v>
      </c>
      <c r="J142" s="9"/>
    </row>
    <row r="143" spans="1:10">
      <c r="A143" s="91" t="s">
        <v>629</v>
      </c>
      <c r="B143" s="88">
        <v>0</v>
      </c>
      <c r="C143" s="73">
        <v>0</v>
      </c>
      <c r="D143" s="73">
        <v>0</v>
      </c>
      <c r="E143" s="73">
        <v>0</v>
      </c>
      <c r="F143" s="73">
        <v>0</v>
      </c>
      <c r="G143" s="73">
        <v>0</v>
      </c>
      <c r="H143" s="73">
        <v>0</v>
      </c>
      <c r="I143" s="216"/>
      <c r="J143" s="9"/>
    </row>
    <row r="144" spans="1:10">
      <c r="A144" s="91" t="s">
        <v>575</v>
      </c>
      <c r="B144" s="88">
        <v>0</v>
      </c>
      <c r="C144" s="73">
        <v>0</v>
      </c>
      <c r="D144" s="73">
        <v>0</v>
      </c>
      <c r="E144" s="73">
        <v>0</v>
      </c>
      <c r="F144" s="73">
        <v>0</v>
      </c>
      <c r="G144" s="73">
        <v>0</v>
      </c>
      <c r="H144" s="73">
        <v>0</v>
      </c>
      <c r="I144" s="216"/>
      <c r="J144" s="9"/>
    </row>
    <row r="145" spans="1:10">
      <c r="A145" s="91" t="s">
        <v>709</v>
      </c>
      <c r="B145" s="88" t="s">
        <v>44</v>
      </c>
      <c r="C145" s="73" t="s">
        <v>44</v>
      </c>
      <c r="D145" s="73" t="s">
        <v>44</v>
      </c>
      <c r="E145" s="73" t="s">
        <v>44</v>
      </c>
      <c r="F145" s="73" t="s">
        <v>44</v>
      </c>
      <c r="G145" s="73" t="s">
        <v>44</v>
      </c>
      <c r="H145" s="73" t="s">
        <v>44</v>
      </c>
      <c r="I145" s="216"/>
      <c r="J145" s="9"/>
    </row>
    <row r="146" spans="1:10">
      <c r="A146" s="91" t="s">
        <v>631</v>
      </c>
      <c r="B146" s="88">
        <v>0.6</v>
      </c>
      <c r="C146" s="73">
        <v>0.6</v>
      </c>
      <c r="D146" s="73">
        <v>0.6</v>
      </c>
      <c r="E146" s="73">
        <v>0.6</v>
      </c>
      <c r="F146" s="73">
        <v>0.6</v>
      </c>
      <c r="G146" s="73">
        <v>0.6</v>
      </c>
      <c r="H146" s="73">
        <v>0.6</v>
      </c>
      <c r="I146" s="216"/>
      <c r="J146" s="9"/>
    </row>
    <row r="147" spans="1:10" ht="33" customHeight="1">
      <c r="A147" s="91" t="s">
        <v>607</v>
      </c>
      <c r="B147" s="88">
        <v>100</v>
      </c>
      <c r="C147" s="73">
        <v>100</v>
      </c>
      <c r="D147" s="73">
        <v>100</v>
      </c>
      <c r="E147" s="73">
        <v>100</v>
      </c>
      <c r="F147" s="73">
        <v>100</v>
      </c>
      <c r="G147" s="73">
        <v>100</v>
      </c>
      <c r="H147" s="73">
        <v>100</v>
      </c>
      <c r="I147" s="97"/>
      <c r="J147" s="99" t="s">
        <v>608</v>
      </c>
    </row>
    <row r="148" spans="1:10" ht="35.450000000000003" customHeight="1">
      <c r="A148" s="108" t="s">
        <v>642</v>
      </c>
      <c r="B148" s="88" t="s">
        <v>715</v>
      </c>
      <c r="C148" s="73" t="s">
        <v>715</v>
      </c>
      <c r="D148" s="73" t="s">
        <v>715</v>
      </c>
      <c r="E148" s="73" t="s">
        <v>715</v>
      </c>
      <c r="F148" s="73" t="s">
        <v>715</v>
      </c>
      <c r="G148" s="73" t="s">
        <v>715</v>
      </c>
      <c r="H148" s="73" t="s">
        <v>715</v>
      </c>
      <c r="I148" s="94" t="s">
        <v>712</v>
      </c>
      <c r="J148" s="9"/>
    </row>
    <row r="149" spans="1:10" ht="16.899999999999999" customHeight="1" thickBot="1">
      <c r="A149" s="92" t="s">
        <v>611</v>
      </c>
      <c r="B149" s="89">
        <v>10</v>
      </c>
      <c r="C149" s="75">
        <v>10</v>
      </c>
      <c r="D149" s="75">
        <v>10</v>
      </c>
      <c r="E149" s="75">
        <v>10</v>
      </c>
      <c r="F149" s="75">
        <v>10</v>
      </c>
      <c r="G149" s="75">
        <v>10</v>
      </c>
      <c r="H149" s="75">
        <v>10</v>
      </c>
      <c r="I149" s="100" t="s">
        <v>576</v>
      </c>
      <c r="J149" s="13"/>
    </row>
    <row r="150" spans="1:10" ht="14.65" thickBot="1">
      <c r="B150" s="35"/>
      <c r="C150" s="35"/>
      <c r="D150" s="35"/>
      <c r="E150" s="35"/>
      <c r="F150" s="35"/>
      <c r="G150" s="35"/>
      <c r="H150" s="35"/>
      <c r="I150" s="96"/>
    </row>
    <row r="151" spans="1:10" ht="14.65" thickBot="1">
      <c r="A151" s="114" t="s">
        <v>716</v>
      </c>
      <c r="B151" s="86">
        <v>2020</v>
      </c>
      <c r="C151" s="80">
        <v>2025</v>
      </c>
      <c r="D151" s="80">
        <v>2030</v>
      </c>
      <c r="E151" s="80">
        <v>2035</v>
      </c>
      <c r="F151" s="80">
        <v>2040</v>
      </c>
      <c r="G151" s="80">
        <v>2045</v>
      </c>
      <c r="H151" s="80">
        <v>2050</v>
      </c>
      <c r="I151" s="81" t="s">
        <v>567</v>
      </c>
      <c r="J151" s="82" t="s">
        <v>568</v>
      </c>
    </row>
    <row r="152" spans="1:10" ht="42.6" customHeight="1">
      <c r="A152" s="90" t="s">
        <v>717</v>
      </c>
      <c r="B152" s="87" t="s">
        <v>651</v>
      </c>
      <c r="C152" s="78" t="s">
        <v>651</v>
      </c>
      <c r="D152" s="78">
        <v>230749.45</v>
      </c>
      <c r="E152" s="78">
        <v>230749.45</v>
      </c>
      <c r="F152" s="78">
        <v>230749.45</v>
      </c>
      <c r="G152" s="78">
        <v>230749.45</v>
      </c>
      <c r="H152" s="78">
        <v>230749.45</v>
      </c>
      <c r="I152" s="139" t="s">
        <v>670</v>
      </c>
      <c r="J152" s="98" t="s">
        <v>718</v>
      </c>
    </row>
    <row r="153" spans="1:10" ht="32.450000000000003" customHeight="1">
      <c r="A153" s="108" t="s">
        <v>719</v>
      </c>
      <c r="B153" s="88" t="s">
        <v>651</v>
      </c>
      <c r="C153" s="73" t="s">
        <v>651</v>
      </c>
      <c r="D153" s="73" t="s">
        <v>720</v>
      </c>
      <c r="E153" s="73" t="s">
        <v>720</v>
      </c>
      <c r="F153" s="73" t="s">
        <v>720</v>
      </c>
      <c r="G153" s="73" t="s">
        <v>720</v>
      </c>
      <c r="H153" s="73" t="s">
        <v>720</v>
      </c>
      <c r="I153" s="97" t="s">
        <v>721</v>
      </c>
      <c r="J153" s="74"/>
    </row>
    <row r="154" spans="1:10">
      <c r="A154" s="91" t="s">
        <v>629</v>
      </c>
      <c r="B154" s="88" t="s">
        <v>651</v>
      </c>
      <c r="C154" s="73" t="s">
        <v>651</v>
      </c>
      <c r="D154" s="73">
        <v>0</v>
      </c>
      <c r="E154" s="73">
        <v>0</v>
      </c>
      <c r="F154" s="73">
        <v>0</v>
      </c>
      <c r="G154" s="73">
        <v>0</v>
      </c>
      <c r="H154" s="73">
        <v>0</v>
      </c>
      <c r="I154" s="216" t="s">
        <v>670</v>
      </c>
      <c r="J154" s="9"/>
    </row>
    <row r="155" spans="1:10">
      <c r="A155" s="91" t="s">
        <v>575</v>
      </c>
      <c r="B155" s="88" t="s">
        <v>651</v>
      </c>
      <c r="C155" s="73" t="s">
        <v>651</v>
      </c>
      <c r="D155" s="73">
        <v>25</v>
      </c>
      <c r="E155" s="73">
        <v>25</v>
      </c>
      <c r="F155" s="73">
        <v>25</v>
      </c>
      <c r="G155" s="73">
        <v>25</v>
      </c>
      <c r="H155" s="73">
        <v>25</v>
      </c>
      <c r="I155" s="216"/>
      <c r="J155" s="9"/>
    </row>
    <row r="156" spans="1:10">
      <c r="A156" s="91" t="s">
        <v>722</v>
      </c>
      <c r="B156" s="88" t="s">
        <v>651</v>
      </c>
      <c r="C156" s="73" t="s">
        <v>651</v>
      </c>
      <c r="D156" s="73">
        <v>100</v>
      </c>
      <c r="E156" s="73">
        <v>100</v>
      </c>
      <c r="F156" s="73">
        <v>100</v>
      </c>
      <c r="G156" s="73">
        <v>100</v>
      </c>
      <c r="H156" s="73">
        <v>100</v>
      </c>
      <c r="I156" s="216"/>
      <c r="J156" s="9"/>
    </row>
    <row r="157" spans="1:10">
      <c r="A157" s="91" t="s">
        <v>723</v>
      </c>
      <c r="B157" s="88" t="s">
        <v>651</v>
      </c>
      <c r="C157" s="73" t="s">
        <v>651</v>
      </c>
      <c r="D157" s="73">
        <v>75</v>
      </c>
      <c r="E157" s="73">
        <v>75</v>
      </c>
      <c r="F157" s="73">
        <v>75</v>
      </c>
      <c r="G157" s="73">
        <v>75</v>
      </c>
      <c r="H157" s="73">
        <v>75</v>
      </c>
      <c r="I157" s="216"/>
      <c r="J157" s="9"/>
    </row>
    <row r="158" spans="1:10">
      <c r="A158" s="91" t="s">
        <v>724</v>
      </c>
      <c r="B158" s="88" t="s">
        <v>651</v>
      </c>
      <c r="C158" s="73" t="s">
        <v>651</v>
      </c>
      <c r="D158" s="73">
        <v>75</v>
      </c>
      <c r="E158" s="73">
        <v>75</v>
      </c>
      <c r="F158" s="73">
        <v>75</v>
      </c>
      <c r="G158" s="73">
        <v>75</v>
      </c>
      <c r="H158" s="73">
        <v>75</v>
      </c>
      <c r="I158" s="216"/>
      <c r="J158" s="9"/>
    </row>
    <row r="159" spans="1:10">
      <c r="A159" s="91" t="s">
        <v>709</v>
      </c>
      <c r="B159" s="88" t="s">
        <v>651</v>
      </c>
      <c r="C159" s="73" t="s">
        <v>651</v>
      </c>
      <c r="D159" s="73" t="s">
        <v>44</v>
      </c>
      <c r="E159" s="73" t="s">
        <v>44</v>
      </c>
      <c r="F159" s="73" t="s">
        <v>44</v>
      </c>
      <c r="G159" s="73" t="s">
        <v>44</v>
      </c>
      <c r="H159" s="73" t="s">
        <v>44</v>
      </c>
      <c r="I159" s="216"/>
      <c r="J159" s="9"/>
    </row>
    <row r="160" spans="1:10">
      <c r="A160" s="91" t="s">
        <v>725</v>
      </c>
      <c r="B160" s="88" t="s">
        <v>651</v>
      </c>
      <c r="C160" s="73" t="s">
        <v>651</v>
      </c>
      <c r="D160" s="73">
        <v>7.5759999999999996</v>
      </c>
      <c r="E160" s="73">
        <v>7.5759999999999996</v>
      </c>
      <c r="F160" s="73">
        <v>7.5759999999999996</v>
      </c>
      <c r="G160" s="73">
        <v>7.5759999999999996</v>
      </c>
      <c r="H160" s="73">
        <v>7.5759999999999996</v>
      </c>
      <c r="I160" s="216"/>
      <c r="J160" s="9"/>
    </row>
    <row r="161" spans="1:10">
      <c r="A161" s="91" t="s">
        <v>631</v>
      </c>
      <c r="B161" s="88" t="s">
        <v>651</v>
      </c>
      <c r="C161" s="73" t="s">
        <v>651</v>
      </c>
      <c r="D161" s="73">
        <v>7.0000000000000007E-2</v>
      </c>
      <c r="E161" s="73">
        <v>7.0000000000000007E-2</v>
      </c>
      <c r="F161" s="73">
        <v>7.0000000000000007E-2</v>
      </c>
      <c r="G161" s="73">
        <v>7.0000000000000007E-2</v>
      </c>
      <c r="H161" s="73">
        <v>7.0000000000000007E-2</v>
      </c>
      <c r="I161" s="216"/>
      <c r="J161" s="9"/>
    </row>
    <row r="162" spans="1:10">
      <c r="A162" s="91" t="s">
        <v>726</v>
      </c>
      <c r="B162" s="88" t="s">
        <v>651</v>
      </c>
      <c r="C162" s="73" t="s">
        <v>651</v>
      </c>
      <c r="D162" s="73">
        <v>2.944</v>
      </c>
      <c r="E162" s="73">
        <v>2.944</v>
      </c>
      <c r="F162" s="73">
        <v>2.944</v>
      </c>
      <c r="G162" s="73">
        <v>2.944</v>
      </c>
      <c r="H162" s="73">
        <v>2.944</v>
      </c>
      <c r="I162" s="216"/>
      <c r="J162" s="9"/>
    </row>
    <row r="163" spans="1:10">
      <c r="A163" s="91" t="s">
        <v>657</v>
      </c>
      <c r="B163" s="88" t="s">
        <v>651</v>
      </c>
      <c r="C163" s="73" t="s">
        <v>651</v>
      </c>
      <c r="D163" s="73">
        <v>800</v>
      </c>
      <c r="E163" s="73">
        <v>800</v>
      </c>
      <c r="F163" s="73">
        <v>800</v>
      </c>
      <c r="G163" s="73">
        <v>800</v>
      </c>
      <c r="H163" s="73">
        <v>800</v>
      </c>
      <c r="I163" s="216"/>
      <c r="J163" s="9"/>
    </row>
    <row r="164" spans="1:10" ht="28.5">
      <c r="A164" s="108" t="s">
        <v>727</v>
      </c>
      <c r="B164" s="88" t="s">
        <v>651</v>
      </c>
      <c r="C164" s="73" t="s">
        <v>651</v>
      </c>
      <c r="D164" s="73" t="s">
        <v>728</v>
      </c>
      <c r="E164" s="73" t="s">
        <v>728</v>
      </c>
      <c r="F164" s="73" t="s">
        <v>728</v>
      </c>
      <c r="G164" s="73" t="s">
        <v>728</v>
      </c>
      <c r="H164" s="73" t="s">
        <v>728</v>
      </c>
      <c r="I164" s="216"/>
      <c r="J164" s="126"/>
    </row>
    <row r="165" spans="1:10" ht="42" customHeight="1">
      <c r="A165" s="91" t="s">
        <v>607</v>
      </c>
      <c r="B165" s="88" t="s">
        <v>651</v>
      </c>
      <c r="C165" s="73" t="s">
        <v>651</v>
      </c>
      <c r="D165" s="73">
        <v>20</v>
      </c>
      <c r="E165" s="73">
        <v>20</v>
      </c>
      <c r="F165" s="73">
        <v>20</v>
      </c>
      <c r="G165" s="73">
        <v>20</v>
      </c>
      <c r="H165" s="73">
        <v>20</v>
      </c>
      <c r="I165" s="94"/>
      <c r="J165" s="99" t="s">
        <v>729</v>
      </c>
    </row>
    <row r="166" spans="1:10" ht="85.5">
      <c r="A166" s="91" t="s">
        <v>640</v>
      </c>
      <c r="B166" s="88" t="s">
        <v>651</v>
      </c>
      <c r="C166" s="73" t="s">
        <v>651</v>
      </c>
      <c r="D166" s="73">
        <v>30</v>
      </c>
      <c r="E166" s="73">
        <v>30</v>
      </c>
      <c r="F166" s="73">
        <v>30</v>
      </c>
      <c r="G166" s="73">
        <v>30</v>
      </c>
      <c r="H166" s="73">
        <v>30</v>
      </c>
      <c r="I166" s="94" t="s">
        <v>673</v>
      </c>
      <c r="J166" s="118" t="s">
        <v>730</v>
      </c>
    </row>
    <row r="167" spans="1:10" ht="13.9" customHeight="1" thickBot="1">
      <c r="A167" s="92" t="s">
        <v>611</v>
      </c>
      <c r="B167" s="89" t="s">
        <v>651</v>
      </c>
      <c r="C167" s="75" t="s">
        <v>651</v>
      </c>
      <c r="D167" s="75">
        <v>30</v>
      </c>
      <c r="E167" s="75">
        <v>30</v>
      </c>
      <c r="F167" s="75">
        <v>30</v>
      </c>
      <c r="G167" s="75">
        <v>30</v>
      </c>
      <c r="H167" s="75">
        <v>30</v>
      </c>
      <c r="I167" s="100" t="s">
        <v>731</v>
      </c>
      <c r="J167" s="13"/>
    </row>
    <row r="168" spans="1:10" ht="14.65" thickBot="1">
      <c r="B168" s="35"/>
      <c r="C168" s="35"/>
      <c r="D168" s="35"/>
      <c r="E168" s="35"/>
      <c r="F168" s="35"/>
      <c r="G168" s="35"/>
      <c r="H168" s="35"/>
      <c r="I168" s="96"/>
    </row>
    <row r="169" spans="1:10" ht="14.65" thickBot="1">
      <c r="A169" s="114" t="s">
        <v>732</v>
      </c>
      <c r="B169" s="86">
        <v>2020</v>
      </c>
      <c r="C169" s="80">
        <v>2025</v>
      </c>
      <c r="D169" s="80">
        <v>2030</v>
      </c>
      <c r="E169" s="80">
        <v>2035</v>
      </c>
      <c r="F169" s="80">
        <v>2040</v>
      </c>
      <c r="G169" s="80">
        <v>2045</v>
      </c>
      <c r="H169" s="80">
        <v>2050</v>
      </c>
      <c r="I169" s="81" t="s">
        <v>567</v>
      </c>
      <c r="J169" s="82" t="s">
        <v>568</v>
      </c>
    </row>
    <row r="170" spans="1:10" ht="45" customHeight="1">
      <c r="A170" s="90" t="s">
        <v>717</v>
      </c>
      <c r="B170" s="87" t="s">
        <v>651</v>
      </c>
      <c r="C170" s="78" t="s">
        <v>651</v>
      </c>
      <c r="D170" s="78">
        <v>334552.21999999997</v>
      </c>
      <c r="E170" s="78">
        <v>334552.21999999997</v>
      </c>
      <c r="F170" s="78">
        <v>334552.21999999997</v>
      </c>
      <c r="G170" s="78">
        <v>334552.21999999997</v>
      </c>
      <c r="H170" s="78">
        <v>334552.21999999997</v>
      </c>
      <c r="I170" s="139" t="s">
        <v>670</v>
      </c>
      <c r="J170" s="98" t="s">
        <v>733</v>
      </c>
    </row>
    <row r="171" spans="1:10" ht="30.6" customHeight="1">
      <c r="A171" s="108" t="s">
        <v>734</v>
      </c>
      <c r="B171" s="88" t="s">
        <v>651</v>
      </c>
      <c r="C171" s="73" t="s">
        <v>651</v>
      </c>
      <c r="D171" s="73" t="s">
        <v>735</v>
      </c>
      <c r="E171" s="73" t="s">
        <v>735</v>
      </c>
      <c r="F171" s="73" t="s">
        <v>735</v>
      </c>
      <c r="G171" s="73" t="s">
        <v>735</v>
      </c>
      <c r="H171" s="73" t="s">
        <v>735</v>
      </c>
      <c r="I171" s="97" t="s">
        <v>736</v>
      </c>
      <c r="J171" s="99" t="s">
        <v>737</v>
      </c>
    </row>
    <row r="172" spans="1:10">
      <c r="A172" s="91" t="s">
        <v>629</v>
      </c>
      <c r="B172" s="88" t="s">
        <v>651</v>
      </c>
      <c r="C172" s="73" t="s">
        <v>651</v>
      </c>
      <c r="D172" s="73">
        <v>0</v>
      </c>
      <c r="E172" s="73">
        <v>0</v>
      </c>
      <c r="F172" s="73">
        <v>0</v>
      </c>
      <c r="G172" s="73">
        <v>0</v>
      </c>
      <c r="H172" s="73">
        <v>0</v>
      </c>
      <c r="I172" s="216" t="s">
        <v>670</v>
      </c>
      <c r="J172" s="9"/>
    </row>
    <row r="173" spans="1:10">
      <c r="A173" s="91" t="s">
        <v>575</v>
      </c>
      <c r="B173" s="88" t="s">
        <v>651</v>
      </c>
      <c r="C173" s="73" t="s">
        <v>651</v>
      </c>
      <c r="D173" s="73">
        <v>20</v>
      </c>
      <c r="E173" s="73">
        <v>20</v>
      </c>
      <c r="F173" s="73">
        <v>20</v>
      </c>
      <c r="G173" s="73">
        <v>20</v>
      </c>
      <c r="H173" s="73">
        <v>20</v>
      </c>
      <c r="I173" s="216"/>
      <c r="J173" s="9"/>
    </row>
    <row r="174" spans="1:10">
      <c r="A174" s="91" t="s">
        <v>722</v>
      </c>
      <c r="B174" s="88" t="s">
        <v>651</v>
      </c>
      <c r="C174" s="73" t="s">
        <v>651</v>
      </c>
      <c r="D174" s="73">
        <v>100</v>
      </c>
      <c r="E174" s="73">
        <v>100</v>
      </c>
      <c r="F174" s="73">
        <v>100</v>
      </c>
      <c r="G174" s="73">
        <v>100</v>
      </c>
      <c r="H174" s="73">
        <v>100</v>
      </c>
      <c r="I174" s="216"/>
      <c r="J174" s="9"/>
    </row>
    <row r="175" spans="1:10">
      <c r="A175" s="91" t="s">
        <v>723</v>
      </c>
      <c r="B175" s="88" t="s">
        <v>651</v>
      </c>
      <c r="C175" s="73" t="s">
        <v>651</v>
      </c>
      <c r="D175" s="73">
        <v>80</v>
      </c>
      <c r="E175" s="73">
        <v>80</v>
      </c>
      <c r="F175" s="73">
        <v>80</v>
      </c>
      <c r="G175" s="73">
        <v>80</v>
      </c>
      <c r="H175" s="73">
        <v>80</v>
      </c>
      <c r="I175" s="216"/>
      <c r="J175" s="9"/>
    </row>
    <row r="176" spans="1:10">
      <c r="A176" s="91" t="s">
        <v>724</v>
      </c>
      <c r="B176" s="88" t="s">
        <v>651</v>
      </c>
      <c r="C176" s="73" t="s">
        <v>651</v>
      </c>
      <c r="D176" s="73">
        <v>80</v>
      </c>
      <c r="E176" s="73">
        <v>80</v>
      </c>
      <c r="F176" s="73">
        <v>80</v>
      </c>
      <c r="G176" s="73">
        <v>80</v>
      </c>
      <c r="H176" s="73">
        <v>80</v>
      </c>
      <c r="I176" s="216"/>
      <c r="J176" s="9"/>
    </row>
    <row r="177" spans="1:10">
      <c r="A177" s="91" t="s">
        <v>709</v>
      </c>
      <c r="B177" s="88" t="s">
        <v>651</v>
      </c>
      <c r="C177" s="73" t="s">
        <v>651</v>
      </c>
      <c r="D177" s="73" t="s">
        <v>44</v>
      </c>
      <c r="E177" s="73" t="s">
        <v>44</v>
      </c>
      <c r="F177" s="73" t="s">
        <v>44</v>
      </c>
      <c r="G177" s="73" t="s">
        <v>44</v>
      </c>
      <c r="H177" s="73" t="s">
        <v>44</v>
      </c>
      <c r="I177" s="216"/>
      <c r="J177" s="9"/>
    </row>
    <row r="178" spans="1:10">
      <c r="A178" s="91" t="s">
        <v>738</v>
      </c>
      <c r="B178" s="88" t="s">
        <v>651</v>
      </c>
      <c r="C178" s="73" t="s">
        <v>651</v>
      </c>
      <c r="D178" s="73">
        <v>6.6666999999999996</v>
      </c>
      <c r="E178" s="73">
        <v>6.6666999999999996</v>
      </c>
      <c r="F178" s="73">
        <v>6.6666999999999996</v>
      </c>
      <c r="G178" s="73">
        <v>6.6666999999999996</v>
      </c>
      <c r="H178" s="73">
        <v>6.6666999999999996</v>
      </c>
      <c r="I178" s="216"/>
      <c r="J178" s="9"/>
    </row>
    <row r="179" spans="1:10">
      <c r="A179" s="91" t="s">
        <v>631</v>
      </c>
      <c r="B179" s="88" t="s">
        <v>651</v>
      </c>
      <c r="C179" s="73" t="s">
        <v>651</v>
      </c>
      <c r="D179" s="73">
        <v>0.32500000000000001</v>
      </c>
      <c r="E179" s="73">
        <v>0.32500000000000001</v>
      </c>
      <c r="F179" s="73">
        <v>0.32500000000000001</v>
      </c>
      <c r="G179" s="73">
        <v>0.32500000000000001</v>
      </c>
      <c r="H179" s="73">
        <v>0.32500000000000001</v>
      </c>
      <c r="I179" s="216"/>
      <c r="J179" s="9"/>
    </row>
    <row r="180" spans="1:10">
      <c r="A180" s="91" t="s">
        <v>726</v>
      </c>
      <c r="B180" s="88" t="s">
        <v>651</v>
      </c>
      <c r="C180" s="73" t="s">
        <v>651</v>
      </c>
      <c r="D180" s="73">
        <v>3.6943999999999999</v>
      </c>
      <c r="E180" s="73">
        <v>3.6943999999999999</v>
      </c>
      <c r="F180" s="73">
        <v>3.6943999999999999</v>
      </c>
      <c r="G180" s="73">
        <v>3.6943999999999999</v>
      </c>
      <c r="H180" s="73">
        <v>3.6943999999999999</v>
      </c>
      <c r="I180" s="216"/>
      <c r="J180" s="9"/>
    </row>
    <row r="181" spans="1:10">
      <c r="A181" s="91" t="s">
        <v>739</v>
      </c>
      <c r="B181" s="88" t="s">
        <v>651</v>
      </c>
      <c r="C181" s="73" t="s">
        <v>651</v>
      </c>
      <c r="D181" s="73">
        <v>1.1199999999999999E-3</v>
      </c>
      <c r="E181" s="73">
        <v>1.1199999999999999E-3</v>
      </c>
      <c r="F181" s="73">
        <v>1.1199999999999999E-3</v>
      </c>
      <c r="G181" s="73">
        <v>1.1199999999999999E-3</v>
      </c>
      <c r="H181" s="73">
        <v>1.1199999999999999E-3</v>
      </c>
      <c r="I181" s="216"/>
      <c r="J181" s="9"/>
    </row>
    <row r="182" spans="1:10" ht="17.45" customHeight="1">
      <c r="A182" s="91" t="s">
        <v>740</v>
      </c>
      <c r="B182" s="88" t="s">
        <v>651</v>
      </c>
      <c r="C182" s="73" t="s">
        <v>651</v>
      </c>
      <c r="D182" s="73">
        <v>8.4946999999999999</v>
      </c>
      <c r="E182" s="73">
        <v>8.4946999999999999</v>
      </c>
      <c r="F182" s="73">
        <v>8.4946999999999999</v>
      </c>
      <c r="G182" s="73">
        <v>8.4946999999999999</v>
      </c>
      <c r="H182" s="73">
        <v>8.4946999999999999</v>
      </c>
      <c r="I182" s="97" t="s">
        <v>665</v>
      </c>
      <c r="J182" s="99" t="s">
        <v>741</v>
      </c>
    </row>
    <row r="183" spans="1:10" ht="114">
      <c r="A183" s="91" t="s">
        <v>607</v>
      </c>
      <c r="B183" s="88" t="s">
        <v>651</v>
      </c>
      <c r="C183" s="73" t="s">
        <v>651</v>
      </c>
      <c r="D183" s="73">
        <v>50</v>
      </c>
      <c r="E183" s="73">
        <v>50</v>
      </c>
      <c r="F183" s="73">
        <v>50</v>
      </c>
      <c r="G183" s="73">
        <v>50</v>
      </c>
      <c r="H183" s="73">
        <v>50</v>
      </c>
      <c r="I183" s="94" t="s">
        <v>673</v>
      </c>
      <c r="J183" s="99" t="s">
        <v>742</v>
      </c>
    </row>
    <row r="184" spans="1:10" ht="28.5">
      <c r="A184" s="91" t="s">
        <v>640</v>
      </c>
      <c r="B184" s="88" t="s">
        <v>651</v>
      </c>
      <c r="C184" s="73" t="s">
        <v>651</v>
      </c>
      <c r="D184" s="73">
        <v>10</v>
      </c>
      <c r="E184" s="73">
        <v>10</v>
      </c>
      <c r="F184" s="73">
        <v>10</v>
      </c>
      <c r="G184" s="73">
        <v>10</v>
      </c>
      <c r="H184" s="73">
        <v>10</v>
      </c>
      <c r="I184" s="97"/>
      <c r="J184" s="99" t="s">
        <v>743</v>
      </c>
    </row>
    <row r="185" spans="1:10">
      <c r="A185" s="91" t="s">
        <v>657</v>
      </c>
      <c r="B185" s="88" t="s">
        <v>651</v>
      </c>
      <c r="C185" s="73" t="s">
        <v>651</v>
      </c>
      <c r="D185" s="73">
        <v>290</v>
      </c>
      <c r="E185" s="73">
        <v>290</v>
      </c>
      <c r="F185" s="73">
        <v>290</v>
      </c>
      <c r="G185" s="73">
        <v>290</v>
      </c>
      <c r="H185" s="73">
        <v>290</v>
      </c>
      <c r="I185" s="216" t="s">
        <v>670</v>
      </c>
      <c r="J185" s="9"/>
    </row>
    <row r="186" spans="1:10" ht="28.5">
      <c r="A186" s="108" t="s">
        <v>727</v>
      </c>
      <c r="B186" s="88" t="s">
        <v>651</v>
      </c>
      <c r="C186" s="73" t="s">
        <v>651</v>
      </c>
      <c r="D186" s="73" t="s">
        <v>744</v>
      </c>
      <c r="E186" s="73" t="s">
        <v>745</v>
      </c>
      <c r="F186" s="73" t="s">
        <v>746</v>
      </c>
      <c r="G186" s="73" t="s">
        <v>747</v>
      </c>
      <c r="H186" s="73" t="s">
        <v>748</v>
      </c>
      <c r="I186" s="216"/>
      <c r="J186" s="9"/>
    </row>
    <row r="187" spans="1:10" ht="14.65" thickBot="1">
      <c r="A187" s="92" t="s">
        <v>611</v>
      </c>
      <c r="B187" s="89" t="s">
        <v>651</v>
      </c>
      <c r="C187" s="75" t="s">
        <v>651</v>
      </c>
      <c r="D187" s="75">
        <v>30</v>
      </c>
      <c r="E187" s="75">
        <v>30</v>
      </c>
      <c r="F187" s="75">
        <v>30</v>
      </c>
      <c r="G187" s="75">
        <v>30</v>
      </c>
      <c r="H187" s="75">
        <v>30</v>
      </c>
      <c r="I187" s="220"/>
      <c r="J187" s="141" t="s">
        <v>749</v>
      </c>
    </row>
  </sheetData>
  <mergeCells count="37">
    <mergeCell ref="I142:I146"/>
    <mergeCell ref="I154:I164"/>
    <mergeCell ref="I172:I181"/>
    <mergeCell ref="I185:I187"/>
    <mergeCell ref="I114:I115"/>
    <mergeCell ref="I116:I119"/>
    <mergeCell ref="I131:I133"/>
    <mergeCell ref="I135:I137"/>
    <mergeCell ref="J122:J127"/>
    <mergeCell ref="J99:J102"/>
    <mergeCell ref="I74:I87"/>
    <mergeCell ref="I90:I92"/>
    <mergeCell ref="I93:I94"/>
    <mergeCell ref="I95:I96"/>
    <mergeCell ref="I99:I104"/>
    <mergeCell ref="I107:I111"/>
    <mergeCell ref="I2:I4"/>
    <mergeCell ref="I35:I36"/>
    <mergeCell ref="I39:I41"/>
    <mergeCell ref="I52:I54"/>
    <mergeCell ref="I69:I71"/>
    <mergeCell ref="I65:I67"/>
    <mergeCell ref="I6:I33"/>
    <mergeCell ref="I58:I59"/>
    <mergeCell ref="I61:I62"/>
    <mergeCell ref="J6:J33"/>
    <mergeCell ref="I43:I45"/>
    <mergeCell ref="J43:J45"/>
    <mergeCell ref="G55:G57"/>
    <mergeCell ref="A55:A57"/>
    <mergeCell ref="C55:C57"/>
    <mergeCell ref="D55:D57"/>
    <mergeCell ref="E55:E57"/>
    <mergeCell ref="F55:F57"/>
    <mergeCell ref="B55:B57"/>
    <mergeCell ref="H55:H57"/>
    <mergeCell ref="J55:J57"/>
  </mergeCells>
  <phoneticPr fontId="2" type="noConversion"/>
  <hyperlinks>
    <hyperlink ref="I6" r:id="rId1" display="https://ens.dk/en/our-services/projections-and-models/technology-data/technology-catalogue-transport-energy" xr:uid="{17A51B0E-520A-44B0-9E44-BE5075D7C9FE}"/>
    <hyperlink ref="I35" r:id="rId2" xr:uid="{2E38EC53-3E3B-4D4B-B907-C92515371405}"/>
    <hyperlink ref="I47" r:id="rId3" xr:uid="{55758A3D-6687-4A6C-94A6-7BC37AB14EB8}"/>
    <hyperlink ref="I43" r:id="rId4" display="https://ens.dk/en/our-services/projections-and-models/technology-data/technology-catalogue-transport-energy" xr:uid="{183580DF-E2BC-42BF-A8D9-F5CE7C13B148}"/>
    <hyperlink ref="I51" r:id="rId5" display="https://www.hydrogen.energy.gov/pdfs/19001_hydrogen_liquefaction_costs.pdf" xr:uid="{A792385B-8F6B-43A9-B202-0335B52A6A67}"/>
    <hyperlink ref="I56" r:id="rId6" display="https://www.idealhy.eu/uploads/documents/IDEALHY_D3-16_Liquefaction_Report_web.pdf" xr:uid="{8A2B5942-0328-4C5D-B2CD-E864190F0279}"/>
    <hyperlink ref="I55" r:id="rId7" display="https://ars.els-cdn.com/content/image/1-s2.0-S1364032121008352-mmc1.pdf" xr:uid="{67BAD4AE-8394-470A-8821-0B6B37BD2836}"/>
    <hyperlink ref="I57" r:id="rId8" display="https://www.hydrogeneurope.eu/wp-content/uploads/2021/04/20201027-SRIA-CHE-final-draft.pdf" xr:uid="{A15BFC75-AB1E-4B19-8047-1C3EF2EDCAF9}"/>
    <hyperlink ref="I52" r:id="rId9" display="https://ars.els-cdn.com/content/image/1-s2.0-S1364032121008352-mmc1.pdf" xr:uid="{31867A02-848A-4CAE-9ED6-F0FF5E546B92}"/>
    <hyperlink ref="I58" r:id="rId10" display="http://kth.diva-portal.org/smash/get/diva2:1531668/FULLTEXT01.pdf" xr:uid="{110A9E8C-B438-4481-B85C-8C67B3E56A7B}"/>
    <hyperlink ref="I61" r:id="rId11" display="https://www.hydrogen.energy.gov/pdfs/19001_hydrogen_liquefaction_costs.pdf" xr:uid="{BF61C221-FE19-46C2-8C3C-BE163D332C80}"/>
    <hyperlink ref="I60" r:id="rId12" display="https://www.idealhy.eu/uploads/documents/IDEALHY_D3-16_Liquefaction_Report_web.pdf" xr:uid="{D835CB89-2D5D-45C5-9147-305D54672F04}"/>
    <hyperlink ref="I97" r:id="rId13" display="https://www.researchgate.net/publication/354533154_Energy_analysis_and_surrogate_modeling_for_the_green_methanol_production_under_dynamic_operating_conditions" xr:uid="{36C2F028-494D-47EA-9ADB-D95222830FB3}"/>
    <hyperlink ref="I98" r:id="rId14" xr:uid="{308C29ED-B5BE-4B03-8DC3-B7668CD7C2EF}"/>
    <hyperlink ref="I107" r:id="rId15" display="https://ars.els-cdn.com/content/image/1-s2.0-S1364032121008352-mmc1.pdf" xr:uid="{6FC68B49-B105-4983-9F9E-451EA47D319E}"/>
    <hyperlink ref="I138" r:id="rId16" xr:uid="{15AE677B-E88F-415D-BE86-907F89825111}"/>
    <hyperlink ref="I141" r:id="rId17" display="https://core.ac.uk/download/pdf/292476271.pdf" xr:uid="{EDA58726-4CF9-40C6-A42D-74214F57092B}"/>
    <hyperlink ref="I148" r:id="rId18" display="https://core.ac.uk/download/pdf/292476271.pdf" xr:uid="{4A2985F8-F2F8-426B-BD82-63AA9D467261}"/>
    <hyperlink ref="I166" r:id="rId19" xr:uid="{B0834876-3402-4238-A535-F86453A4A77F}"/>
    <hyperlink ref="I183" r:id="rId20" xr:uid="{F97AE84D-18B2-4D6A-8344-924946EE621D}"/>
    <hyperlink ref="I114" r:id="rId21" xr:uid="{1D1E85C5-1384-411C-8F34-A432021668EE}"/>
    <hyperlink ref="I65" r:id="rId22" xr:uid="{FEF98820-6D76-450C-B3B7-03A653C921D2}"/>
    <hyperlink ref="I69" r:id="rId23" xr:uid="{D8E4F8D0-10B7-4437-BBCA-909A0FD9147A}"/>
    <hyperlink ref="I68" r:id="rId24" xr:uid="{5D75A686-B081-4959-839C-C0884EC413DA}"/>
  </hyperlinks>
  <pageMargins left="0.7" right="0.7" top="0.75" bottom="0.75" header="0.3" footer="0.3"/>
  <pageSetup orientation="portrait" r:id="rId2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840FC-9892-48F1-A82F-F9CF15E94BF8}">
  <sheetPr codeName="Hoja5"/>
  <dimension ref="A1:J31"/>
  <sheetViews>
    <sheetView workbookViewId="0">
      <selection activeCell="A6" sqref="A6"/>
    </sheetView>
  </sheetViews>
  <sheetFormatPr defaultColWidth="11.42578125" defaultRowHeight="14.25"/>
  <cols>
    <col min="1" max="1" width="29.7109375" bestFit="1" customWidth="1"/>
    <col min="9" max="9" width="11.5703125" style="71"/>
    <col min="10" max="10" width="50.7109375" customWidth="1"/>
  </cols>
  <sheetData>
    <row r="1" spans="1:10" ht="14.65" thickBot="1">
      <c r="A1" s="114" t="s">
        <v>750</v>
      </c>
      <c r="B1" s="86">
        <v>2020</v>
      </c>
      <c r="C1" s="80">
        <v>2025</v>
      </c>
      <c r="D1" s="80">
        <v>2030</v>
      </c>
      <c r="E1" s="80">
        <v>2035</v>
      </c>
      <c r="F1" s="80">
        <v>2040</v>
      </c>
      <c r="G1" s="80">
        <v>2045</v>
      </c>
      <c r="H1" s="80">
        <v>2050</v>
      </c>
      <c r="I1" s="81" t="s">
        <v>567</v>
      </c>
      <c r="J1" s="82" t="s">
        <v>568</v>
      </c>
    </row>
    <row r="2" spans="1:10" ht="16.149999999999999" customHeight="1">
      <c r="A2" s="90" t="s">
        <v>702</v>
      </c>
      <c r="B2" s="87">
        <v>432</v>
      </c>
      <c r="C2" s="78">
        <v>336</v>
      </c>
      <c r="D2" s="78">
        <v>278</v>
      </c>
      <c r="E2" s="78">
        <v>237</v>
      </c>
      <c r="F2" s="78">
        <v>207</v>
      </c>
      <c r="G2" s="78">
        <v>184</v>
      </c>
      <c r="H2" s="78">
        <v>166</v>
      </c>
      <c r="I2" s="221" t="s">
        <v>628</v>
      </c>
      <c r="J2" s="83"/>
    </row>
    <row r="3" spans="1:10">
      <c r="A3" s="91" t="s">
        <v>751</v>
      </c>
      <c r="B3" s="88">
        <v>7.76</v>
      </c>
      <c r="C3" s="73">
        <v>6.51</v>
      </c>
      <c r="D3" s="73">
        <v>5.66</v>
      </c>
      <c r="E3" s="73">
        <v>5</v>
      </c>
      <c r="F3" s="73">
        <v>4.47</v>
      </c>
      <c r="G3" s="73">
        <v>4.04</v>
      </c>
      <c r="H3" s="73">
        <v>3.7</v>
      </c>
      <c r="I3" s="209"/>
      <c r="J3" s="9"/>
    </row>
    <row r="4" spans="1:10">
      <c r="A4" s="91" t="s">
        <v>752</v>
      </c>
      <c r="B4" s="88">
        <v>0</v>
      </c>
      <c r="C4" s="73">
        <v>0</v>
      </c>
      <c r="D4" s="73">
        <v>0</v>
      </c>
      <c r="E4" s="73">
        <v>0</v>
      </c>
      <c r="F4" s="73">
        <v>0</v>
      </c>
      <c r="G4" s="73">
        <v>0</v>
      </c>
      <c r="H4" s="73">
        <v>0</v>
      </c>
      <c r="I4" s="210"/>
      <c r="J4" s="9"/>
    </row>
    <row r="5" spans="1:10" ht="15.6" customHeight="1">
      <c r="A5" s="91" t="s">
        <v>753</v>
      </c>
      <c r="B5" s="88">
        <v>1.2E-4</v>
      </c>
      <c r="C5" s="73">
        <v>1.2E-4</v>
      </c>
      <c r="D5" s="73">
        <v>1.2E-4</v>
      </c>
      <c r="E5" s="73">
        <v>1.2E-4</v>
      </c>
      <c r="F5" s="73">
        <v>1.2E-4</v>
      </c>
      <c r="G5" s="73">
        <v>1.2E-4</v>
      </c>
      <c r="H5" s="73">
        <v>1.2E-4</v>
      </c>
      <c r="I5" s="76" t="s">
        <v>754</v>
      </c>
      <c r="J5" s="9" t="s">
        <v>755</v>
      </c>
    </row>
    <row r="6" spans="1:10" ht="15" customHeight="1" thickBot="1">
      <c r="A6" s="92" t="s">
        <v>611</v>
      </c>
      <c r="B6" s="89">
        <v>30</v>
      </c>
      <c r="C6" s="75">
        <v>35</v>
      </c>
      <c r="D6" s="75">
        <v>35</v>
      </c>
      <c r="E6" s="75">
        <v>35</v>
      </c>
      <c r="F6" s="75">
        <v>40</v>
      </c>
      <c r="G6" s="75">
        <v>40</v>
      </c>
      <c r="H6" s="75">
        <v>40</v>
      </c>
      <c r="I6" s="85" t="s">
        <v>628</v>
      </c>
      <c r="J6" s="13"/>
    </row>
    <row r="7" spans="1:10" ht="14.65" thickBot="1"/>
    <row r="8" spans="1:10" ht="14.65" thickBot="1">
      <c r="A8" s="114" t="s">
        <v>756</v>
      </c>
      <c r="B8" s="86">
        <v>2020</v>
      </c>
      <c r="C8" s="80">
        <v>2025</v>
      </c>
      <c r="D8" s="80">
        <v>2030</v>
      </c>
      <c r="E8" s="80">
        <v>2035</v>
      </c>
      <c r="F8" s="80">
        <v>2040</v>
      </c>
      <c r="G8" s="80">
        <v>2045</v>
      </c>
      <c r="H8" s="80">
        <v>2050</v>
      </c>
      <c r="I8" s="81" t="s">
        <v>567</v>
      </c>
      <c r="J8" s="82" t="s">
        <v>568</v>
      </c>
    </row>
    <row r="9" spans="1:10" ht="17.45" customHeight="1">
      <c r="A9" s="90" t="s">
        <v>702</v>
      </c>
      <c r="B9" s="87">
        <v>475</v>
      </c>
      <c r="C9" s="78">
        <v>370</v>
      </c>
      <c r="D9" s="78">
        <v>306</v>
      </c>
      <c r="E9" s="78">
        <v>261</v>
      </c>
      <c r="F9" s="78">
        <v>228</v>
      </c>
      <c r="G9" s="78">
        <v>202</v>
      </c>
      <c r="H9" s="78">
        <v>183</v>
      </c>
      <c r="I9" s="210" t="s">
        <v>628</v>
      </c>
      <c r="J9" s="83"/>
    </row>
    <row r="10" spans="1:10">
      <c r="A10" s="91" t="s">
        <v>751</v>
      </c>
      <c r="B10" s="88">
        <v>8.5399999999999991</v>
      </c>
      <c r="C10" s="73">
        <v>7.16</v>
      </c>
      <c r="D10" s="73">
        <v>6.23</v>
      </c>
      <c r="E10" s="73">
        <v>5.5</v>
      </c>
      <c r="F10" s="73">
        <v>4.92</v>
      </c>
      <c r="G10" s="73">
        <v>4.4400000000000004</v>
      </c>
      <c r="H10" s="73">
        <v>4.07</v>
      </c>
      <c r="I10" s="217"/>
      <c r="J10" s="9"/>
    </row>
    <row r="11" spans="1:10">
      <c r="A11" s="91" t="s">
        <v>752</v>
      </c>
      <c r="B11" s="88">
        <v>0</v>
      </c>
      <c r="C11" s="73">
        <v>0</v>
      </c>
      <c r="D11" s="73">
        <v>0</v>
      </c>
      <c r="E11" s="73">
        <v>0</v>
      </c>
      <c r="F11" s="73">
        <v>0</v>
      </c>
      <c r="G11" s="73">
        <v>0</v>
      </c>
      <c r="H11" s="73">
        <v>0</v>
      </c>
      <c r="I11" s="217"/>
      <c r="J11" s="9"/>
    </row>
    <row r="12" spans="1:10" ht="13.9" customHeight="1">
      <c r="A12" s="91" t="s">
        <v>753</v>
      </c>
      <c r="B12" s="88">
        <v>1.2E-4</v>
      </c>
      <c r="C12" s="73">
        <v>1.2E-4</v>
      </c>
      <c r="D12" s="73">
        <v>1.2E-4</v>
      </c>
      <c r="E12" s="73">
        <v>1.2E-4</v>
      </c>
      <c r="F12" s="73">
        <v>1.2E-4</v>
      </c>
      <c r="G12" s="73">
        <v>1.2E-4</v>
      </c>
      <c r="H12" s="73">
        <v>1.2E-4</v>
      </c>
      <c r="I12" s="76" t="s">
        <v>754</v>
      </c>
      <c r="J12" s="9" t="s">
        <v>755</v>
      </c>
    </row>
    <row r="13" spans="1:10" ht="16.149999999999999" customHeight="1" thickBot="1">
      <c r="A13" s="92" t="s">
        <v>611</v>
      </c>
      <c r="B13" s="89">
        <v>30</v>
      </c>
      <c r="C13" s="75">
        <v>35</v>
      </c>
      <c r="D13" s="75">
        <v>35</v>
      </c>
      <c r="E13" s="75">
        <v>35</v>
      </c>
      <c r="F13" s="75">
        <v>40</v>
      </c>
      <c r="G13" s="75">
        <v>40</v>
      </c>
      <c r="H13" s="75">
        <v>40</v>
      </c>
      <c r="I13" s="85" t="s">
        <v>628</v>
      </c>
      <c r="J13" s="13"/>
    </row>
    <row r="14" spans="1:10" ht="14.65" thickBot="1"/>
    <row r="15" spans="1:10" ht="14.65" thickBot="1">
      <c r="A15" s="114" t="s">
        <v>757</v>
      </c>
      <c r="B15" s="86">
        <v>2020</v>
      </c>
      <c r="C15" s="80">
        <v>2025</v>
      </c>
      <c r="D15" s="80">
        <v>2030</v>
      </c>
      <c r="E15" s="80">
        <v>2035</v>
      </c>
      <c r="F15" s="80">
        <v>2040</v>
      </c>
      <c r="G15" s="80">
        <v>2045</v>
      </c>
      <c r="H15" s="80">
        <v>2050</v>
      </c>
      <c r="I15" s="81" t="s">
        <v>567</v>
      </c>
      <c r="J15" s="82" t="s">
        <v>568</v>
      </c>
    </row>
    <row r="16" spans="1:10" ht="14.45" customHeight="1">
      <c r="A16" s="90" t="s">
        <v>702</v>
      </c>
      <c r="B16" s="87">
        <v>1045</v>
      </c>
      <c r="C16" s="78">
        <v>842</v>
      </c>
      <c r="D16" s="78">
        <v>715</v>
      </c>
      <c r="E16" s="78">
        <v>622</v>
      </c>
      <c r="F16" s="78">
        <v>551</v>
      </c>
      <c r="G16" s="78">
        <v>496</v>
      </c>
      <c r="H16" s="78">
        <v>453</v>
      </c>
      <c r="I16" s="221" t="s">
        <v>628</v>
      </c>
      <c r="J16" s="83"/>
    </row>
    <row r="17" spans="1:10">
      <c r="A17" s="91" t="s">
        <v>751</v>
      </c>
      <c r="B17" s="88">
        <v>9.1300000000000008</v>
      </c>
      <c r="C17" s="73">
        <v>7.66</v>
      </c>
      <c r="D17" s="73">
        <v>6.66</v>
      </c>
      <c r="E17" s="73">
        <v>5.88</v>
      </c>
      <c r="F17" s="73">
        <v>5.26</v>
      </c>
      <c r="G17" s="73">
        <v>4.75</v>
      </c>
      <c r="H17" s="73">
        <v>4.3600000000000003</v>
      </c>
      <c r="I17" s="209"/>
      <c r="J17" s="9"/>
    </row>
    <row r="18" spans="1:10">
      <c r="A18" s="91" t="s">
        <v>752</v>
      </c>
      <c r="B18" s="88">
        <v>0</v>
      </c>
      <c r="C18" s="73">
        <v>0</v>
      </c>
      <c r="D18" s="73">
        <v>0</v>
      </c>
      <c r="E18" s="73">
        <v>0</v>
      </c>
      <c r="F18" s="73">
        <v>0</v>
      </c>
      <c r="G18" s="73">
        <v>0</v>
      </c>
      <c r="H18" s="73">
        <v>0</v>
      </c>
      <c r="I18" s="209"/>
      <c r="J18" s="9"/>
    </row>
    <row r="19" spans="1:10" ht="14.65" thickBot="1">
      <c r="A19" s="92" t="s">
        <v>611</v>
      </c>
      <c r="B19" s="89">
        <v>30</v>
      </c>
      <c r="C19" s="75">
        <v>35</v>
      </c>
      <c r="D19" s="75">
        <v>35</v>
      </c>
      <c r="E19" s="75">
        <v>35</v>
      </c>
      <c r="F19" s="75">
        <v>40</v>
      </c>
      <c r="G19" s="75">
        <v>40</v>
      </c>
      <c r="H19" s="75">
        <v>40</v>
      </c>
      <c r="I19" s="222"/>
      <c r="J19" s="13"/>
    </row>
    <row r="20" spans="1:10" ht="14.65" thickBot="1"/>
    <row r="21" spans="1:10" ht="14.65" thickBot="1">
      <c r="A21" s="114" t="s">
        <v>758</v>
      </c>
      <c r="B21" s="86">
        <v>2020</v>
      </c>
      <c r="C21" s="80">
        <v>2025</v>
      </c>
      <c r="D21" s="80">
        <v>2030</v>
      </c>
      <c r="E21" s="80">
        <v>2035</v>
      </c>
      <c r="F21" s="80">
        <v>2040</v>
      </c>
      <c r="G21" s="80">
        <v>2045</v>
      </c>
      <c r="H21" s="80">
        <v>2050</v>
      </c>
      <c r="I21" s="81" t="s">
        <v>567</v>
      </c>
      <c r="J21" s="82" t="s">
        <v>568</v>
      </c>
    </row>
    <row r="22" spans="1:10" ht="15.6" customHeight="1">
      <c r="A22" s="90" t="s">
        <v>702</v>
      </c>
      <c r="B22" s="87">
        <v>689</v>
      </c>
      <c r="C22" s="78">
        <v>544</v>
      </c>
      <c r="D22" s="78">
        <v>456</v>
      </c>
      <c r="E22" s="78">
        <v>393</v>
      </c>
      <c r="F22" s="78">
        <v>345</v>
      </c>
      <c r="G22" s="78">
        <v>308</v>
      </c>
      <c r="H22" s="78">
        <v>280</v>
      </c>
      <c r="I22" s="221" t="s">
        <v>628</v>
      </c>
      <c r="J22" s="83"/>
    </row>
    <row r="23" spans="1:10">
      <c r="A23" s="91" t="s">
        <v>751</v>
      </c>
      <c r="B23" s="88">
        <v>9.1300000000000008</v>
      </c>
      <c r="C23" s="73">
        <v>7.66</v>
      </c>
      <c r="D23" s="73">
        <v>6.66</v>
      </c>
      <c r="E23" s="73">
        <v>5.88</v>
      </c>
      <c r="F23" s="73">
        <v>5.26</v>
      </c>
      <c r="G23" s="73">
        <v>4.75</v>
      </c>
      <c r="H23" s="73">
        <v>4.3600000000000003</v>
      </c>
      <c r="I23" s="209"/>
      <c r="J23" s="9"/>
    </row>
    <row r="24" spans="1:10">
      <c r="A24" s="91" t="s">
        <v>752</v>
      </c>
      <c r="B24" s="88">
        <v>0</v>
      </c>
      <c r="C24" s="73">
        <v>0</v>
      </c>
      <c r="D24" s="73">
        <v>0</v>
      </c>
      <c r="E24" s="73">
        <v>0</v>
      </c>
      <c r="F24" s="73">
        <v>0</v>
      </c>
      <c r="G24" s="73">
        <v>0</v>
      </c>
      <c r="H24" s="73">
        <v>0</v>
      </c>
      <c r="I24" s="209"/>
      <c r="J24" s="9"/>
    </row>
    <row r="25" spans="1:10" ht="14.65" thickBot="1">
      <c r="A25" s="92" t="s">
        <v>611</v>
      </c>
      <c r="B25" s="89">
        <v>30</v>
      </c>
      <c r="C25" s="75">
        <v>35</v>
      </c>
      <c r="D25" s="75">
        <v>35</v>
      </c>
      <c r="E25" s="75">
        <v>35</v>
      </c>
      <c r="F25" s="75">
        <v>40</v>
      </c>
      <c r="G25" s="75">
        <v>40</v>
      </c>
      <c r="H25" s="75">
        <v>40</v>
      </c>
      <c r="I25" s="222"/>
      <c r="J25" s="13"/>
    </row>
    <row r="26" spans="1:10" ht="14.65" thickBot="1"/>
    <row r="27" spans="1:10" ht="14.65" thickBot="1">
      <c r="A27" s="114" t="s">
        <v>759</v>
      </c>
      <c r="B27" s="86">
        <v>2020</v>
      </c>
      <c r="C27" s="80">
        <v>2025</v>
      </c>
      <c r="D27" s="80">
        <v>2030</v>
      </c>
      <c r="E27" s="80">
        <v>2035</v>
      </c>
      <c r="F27" s="80">
        <v>2040</v>
      </c>
      <c r="G27" s="80">
        <v>2045</v>
      </c>
      <c r="H27" s="80">
        <v>2050</v>
      </c>
      <c r="I27" s="81" t="s">
        <v>567</v>
      </c>
      <c r="J27" s="82" t="s">
        <v>568</v>
      </c>
    </row>
    <row r="28" spans="1:10" ht="16.899999999999999" customHeight="1">
      <c r="A28" s="90" t="s">
        <v>702</v>
      </c>
      <c r="B28" s="87">
        <v>512</v>
      </c>
      <c r="C28" s="78">
        <v>397</v>
      </c>
      <c r="D28" s="78">
        <v>329</v>
      </c>
      <c r="E28" s="78">
        <v>281</v>
      </c>
      <c r="F28" s="78">
        <v>245</v>
      </c>
      <c r="G28" s="78">
        <v>217</v>
      </c>
      <c r="H28" s="78">
        <v>197</v>
      </c>
      <c r="I28" s="221" t="s">
        <v>628</v>
      </c>
      <c r="J28" s="83"/>
    </row>
    <row r="29" spans="1:10">
      <c r="A29" s="91" t="s">
        <v>751</v>
      </c>
      <c r="B29" s="88">
        <v>9.1300000000000008</v>
      </c>
      <c r="C29" s="73">
        <v>7.66</v>
      </c>
      <c r="D29" s="73">
        <v>6.66</v>
      </c>
      <c r="E29" s="73">
        <v>5.88</v>
      </c>
      <c r="F29" s="73">
        <v>5.26</v>
      </c>
      <c r="G29" s="73">
        <v>4.75</v>
      </c>
      <c r="H29" s="73">
        <v>4.3600000000000003</v>
      </c>
      <c r="I29" s="209"/>
      <c r="J29" s="9"/>
    </row>
    <row r="30" spans="1:10">
      <c r="A30" s="91" t="s">
        <v>752</v>
      </c>
      <c r="B30" s="88">
        <v>0</v>
      </c>
      <c r="C30" s="73">
        <v>0</v>
      </c>
      <c r="D30" s="73">
        <v>0</v>
      </c>
      <c r="E30" s="73">
        <v>0</v>
      </c>
      <c r="F30" s="73">
        <v>0</v>
      </c>
      <c r="G30" s="73">
        <v>0</v>
      </c>
      <c r="H30" s="73">
        <v>0</v>
      </c>
      <c r="I30" s="209"/>
      <c r="J30" s="9"/>
    </row>
    <row r="31" spans="1:10" ht="14.65" thickBot="1">
      <c r="A31" s="92" t="s">
        <v>611</v>
      </c>
      <c r="B31" s="89">
        <v>30</v>
      </c>
      <c r="C31" s="75">
        <v>35</v>
      </c>
      <c r="D31" s="75">
        <v>35</v>
      </c>
      <c r="E31" s="75">
        <v>35</v>
      </c>
      <c r="F31" s="75">
        <v>40</v>
      </c>
      <c r="G31" s="75">
        <v>40</v>
      </c>
      <c r="H31" s="75">
        <v>40</v>
      </c>
      <c r="I31" s="222"/>
      <c r="J31" s="13"/>
    </row>
  </sheetData>
  <mergeCells count="5">
    <mergeCell ref="I2:I4"/>
    <mergeCell ref="I9:I11"/>
    <mergeCell ref="I16:I19"/>
    <mergeCell ref="I22:I25"/>
    <mergeCell ref="I28:I31"/>
  </mergeCells>
  <hyperlinks>
    <hyperlink ref="I2" r:id="rId1" display="https://ars.els-cdn.com/content/image/1-s2.0-S1364032121008352-mmc1.pdf" xr:uid="{7050DBED-5CC4-4628-9554-6A771BF6538D}"/>
    <hyperlink ref="I9" r:id="rId2" display="https://ars.els-cdn.com/content/image/1-s2.0-S1364032121008352-mmc1.pdf" xr:uid="{839A0205-903B-4E1A-BE31-A509843969A6}"/>
    <hyperlink ref="I16" r:id="rId3" display="https://ars.els-cdn.com/content/image/1-s2.0-S1364032121008352-mmc1.pdf" xr:uid="{5D8B20FB-39D5-43EB-A2CE-E68465D9E436}"/>
    <hyperlink ref="I22" r:id="rId4" display="https://ars.els-cdn.com/content/image/1-s2.0-S1364032121008352-mmc1.pdf" xr:uid="{02D00216-79FE-4210-93E9-57C771E1F430}"/>
    <hyperlink ref="I28" r:id="rId5" display="https://ars.els-cdn.com/content/image/1-s2.0-S1364032121008352-mmc1.pdf" xr:uid="{EC429370-1899-4112-BFD8-205F2F5A6514}"/>
    <hyperlink ref="I6" r:id="rId6" display="https://ars.els-cdn.com/content/image/1-s2.0-S1364032121008352-mmc1.pdf" xr:uid="{E723257B-4F40-4323-8991-F59586255630}"/>
    <hyperlink ref="I13" r:id="rId7" display="https://ars.els-cdn.com/content/image/1-s2.0-S1364032121008352-mmc1.pdf" xr:uid="{E4501B14-974A-4088-8B81-BF520224901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6C710-0B14-468B-B96E-276F4D8D8783}">
  <sheetPr codeName="Hoja6"/>
  <dimension ref="A1:J86"/>
  <sheetViews>
    <sheetView workbookViewId="0">
      <selection activeCell="B43" sqref="B43"/>
    </sheetView>
  </sheetViews>
  <sheetFormatPr defaultColWidth="11.42578125" defaultRowHeight="14.25"/>
  <cols>
    <col min="1" max="1" width="25.7109375" style="32" customWidth="1"/>
    <col min="2" max="2" width="12" style="35" bestFit="1" customWidth="1"/>
    <col min="3" max="3" width="13.28515625" style="35" bestFit="1" customWidth="1"/>
    <col min="4" max="5" width="12" style="35" bestFit="1" customWidth="1"/>
    <col min="6" max="7" width="12.28515625" style="35" bestFit="1" customWidth="1"/>
    <col min="8" max="8" width="12" style="35" bestFit="1" customWidth="1"/>
    <col min="9" max="9" width="11.5703125" style="96"/>
    <col min="10" max="10" width="81.28515625" customWidth="1"/>
  </cols>
  <sheetData>
    <row r="1" spans="1:10" ht="14.65" thickBot="1">
      <c r="A1" s="115" t="s">
        <v>760</v>
      </c>
      <c r="B1" s="86">
        <v>2020</v>
      </c>
      <c r="C1" s="80">
        <v>2025</v>
      </c>
      <c r="D1" s="80">
        <v>2030</v>
      </c>
      <c r="E1" s="80">
        <v>2035</v>
      </c>
      <c r="F1" s="80">
        <v>2040</v>
      </c>
      <c r="G1" s="80">
        <v>2045</v>
      </c>
      <c r="H1" s="80">
        <v>2050</v>
      </c>
      <c r="I1" s="81" t="s">
        <v>567</v>
      </c>
      <c r="J1" s="82" t="s">
        <v>568</v>
      </c>
    </row>
    <row r="2" spans="1:10" ht="57">
      <c r="A2" s="119" t="s">
        <v>761</v>
      </c>
      <c r="B2" s="87">
        <v>975.54100000000005</v>
      </c>
      <c r="C2" s="78">
        <v>704.62400000000002</v>
      </c>
      <c r="D2" s="78">
        <v>525.72</v>
      </c>
      <c r="E2" s="78">
        <v>408.94</v>
      </c>
      <c r="F2" s="78">
        <v>305.60399999999998</v>
      </c>
      <c r="G2" s="78">
        <v>253.78299999999999</v>
      </c>
      <c r="H2" s="78">
        <v>203.32</v>
      </c>
      <c r="I2" s="93" t="s">
        <v>762</v>
      </c>
      <c r="J2" s="98" t="s">
        <v>763</v>
      </c>
    </row>
    <row r="3" spans="1:10" ht="30.6" customHeight="1">
      <c r="A3" s="108" t="s">
        <v>764</v>
      </c>
      <c r="B3" s="88" t="s">
        <v>765</v>
      </c>
      <c r="C3" s="73" t="s">
        <v>766</v>
      </c>
      <c r="D3" s="73" t="s">
        <v>767</v>
      </c>
      <c r="E3" s="73" t="s">
        <v>768</v>
      </c>
      <c r="F3" s="73" t="s">
        <v>769</v>
      </c>
      <c r="G3" s="73" t="s">
        <v>770</v>
      </c>
      <c r="H3" s="73" t="s">
        <v>771</v>
      </c>
      <c r="I3" s="94" t="s">
        <v>772</v>
      </c>
      <c r="J3" s="121" t="s">
        <v>773</v>
      </c>
    </row>
    <row r="4" spans="1:10">
      <c r="A4" s="108" t="s">
        <v>629</v>
      </c>
      <c r="B4" s="88">
        <v>0</v>
      </c>
      <c r="C4" s="73">
        <v>0</v>
      </c>
      <c r="D4" s="73">
        <v>0</v>
      </c>
      <c r="E4" s="73">
        <v>0</v>
      </c>
      <c r="F4" s="73">
        <v>0</v>
      </c>
      <c r="G4" s="73">
        <v>0</v>
      </c>
      <c r="H4" s="73">
        <v>0</v>
      </c>
      <c r="I4" s="97"/>
      <c r="J4" s="9"/>
    </row>
    <row r="5" spans="1:10" ht="57">
      <c r="A5" s="108" t="s">
        <v>774</v>
      </c>
      <c r="B5" s="88">
        <v>56</v>
      </c>
      <c r="C5" s="73">
        <v>63</v>
      </c>
      <c r="D5" s="73">
        <v>69</v>
      </c>
      <c r="E5" s="73">
        <v>71</v>
      </c>
      <c r="F5" s="73">
        <v>72</v>
      </c>
      <c r="G5" s="73">
        <v>73</v>
      </c>
      <c r="H5" s="73">
        <v>74</v>
      </c>
      <c r="I5" s="217" t="s">
        <v>775</v>
      </c>
      <c r="J5" s="118" t="s">
        <v>776</v>
      </c>
    </row>
    <row r="6" spans="1:10" ht="28.5">
      <c r="A6" s="108" t="s">
        <v>631</v>
      </c>
      <c r="B6" s="88">
        <v>59.523214285714275</v>
      </c>
      <c r="C6" s="73">
        <v>52.909523809523805</v>
      </c>
      <c r="D6" s="73">
        <v>48.308695652173917</v>
      </c>
      <c r="E6" s="73">
        <v>46.947887323943661</v>
      </c>
      <c r="F6" s="73">
        <v>46.295833333333334</v>
      </c>
      <c r="G6" s="73">
        <v>45.661643835616438</v>
      </c>
      <c r="H6" s="73">
        <v>45.044594594594592</v>
      </c>
      <c r="I6" s="217"/>
      <c r="J6" s="118" t="s">
        <v>777</v>
      </c>
    </row>
    <row r="7" spans="1:10" ht="114">
      <c r="A7" s="108" t="s">
        <v>778</v>
      </c>
      <c r="B7" s="88">
        <v>7.3999999999999996E-2</v>
      </c>
      <c r="C7" s="73">
        <v>7.3999999999999996E-2</v>
      </c>
      <c r="D7" s="73">
        <v>7.3999999999999996E-2</v>
      </c>
      <c r="E7" s="73">
        <v>7.3999999999999996E-2</v>
      </c>
      <c r="F7" s="73">
        <v>7.3999999999999996E-2</v>
      </c>
      <c r="G7" s="73">
        <v>7.3999999999999996E-2</v>
      </c>
      <c r="H7" s="73">
        <v>7.3999999999999996E-2</v>
      </c>
      <c r="I7" s="94" t="s">
        <v>779</v>
      </c>
      <c r="J7" s="118" t="s">
        <v>780</v>
      </c>
    </row>
    <row r="8" spans="1:10" ht="16.149999999999999" customHeight="1">
      <c r="A8" s="108" t="s">
        <v>781</v>
      </c>
      <c r="B8" s="88">
        <v>20</v>
      </c>
      <c r="C8" s="73">
        <v>25</v>
      </c>
      <c r="D8" s="73">
        <v>28</v>
      </c>
      <c r="E8" s="73">
        <v>28</v>
      </c>
      <c r="F8" s="73">
        <v>28</v>
      </c>
      <c r="G8" s="73">
        <v>28</v>
      </c>
      <c r="H8" s="73">
        <v>30</v>
      </c>
      <c r="I8" s="94" t="s">
        <v>782</v>
      </c>
      <c r="J8" s="118"/>
    </row>
    <row r="9" spans="1:10" ht="14.45" customHeight="1">
      <c r="A9" s="108" t="s">
        <v>783</v>
      </c>
      <c r="B9" s="88">
        <v>30000</v>
      </c>
      <c r="C9" s="73">
        <v>60000</v>
      </c>
      <c r="D9" s="73">
        <v>90000</v>
      </c>
      <c r="E9" s="73">
        <v>90000</v>
      </c>
      <c r="F9" s="73">
        <v>90000</v>
      </c>
      <c r="G9" s="73">
        <v>100000</v>
      </c>
      <c r="H9" s="73">
        <v>150000</v>
      </c>
      <c r="I9" s="94" t="s">
        <v>784</v>
      </c>
      <c r="J9" s="9"/>
    </row>
    <row r="10" spans="1:10" ht="28.5">
      <c r="A10" s="108" t="s">
        <v>609</v>
      </c>
      <c r="B10" s="88">
        <v>1680</v>
      </c>
      <c r="C10" s="73">
        <v>1890</v>
      </c>
      <c r="D10" s="73">
        <v>2070</v>
      </c>
      <c r="E10" s="73">
        <v>2130</v>
      </c>
      <c r="F10" s="73">
        <v>2160</v>
      </c>
      <c r="G10" s="73">
        <v>2190</v>
      </c>
      <c r="H10" s="73">
        <v>2220</v>
      </c>
      <c r="I10" s="97"/>
      <c r="J10" s="121" t="s">
        <v>785</v>
      </c>
    </row>
    <row r="11" spans="1:10" ht="16.899999999999999" customHeight="1">
      <c r="A11" s="108" t="s">
        <v>607</v>
      </c>
      <c r="B11" s="88">
        <v>100</v>
      </c>
      <c r="C11" s="73">
        <v>100</v>
      </c>
      <c r="D11" s="73">
        <v>100</v>
      </c>
      <c r="E11" s="73">
        <v>100</v>
      </c>
      <c r="F11" s="73">
        <v>100</v>
      </c>
      <c r="G11" s="73">
        <v>100</v>
      </c>
      <c r="H11" s="73">
        <v>100</v>
      </c>
      <c r="I11" s="94" t="s">
        <v>786</v>
      </c>
      <c r="J11" s="9" t="s">
        <v>787</v>
      </c>
    </row>
    <row r="12" spans="1:10" ht="16.899999999999999" customHeight="1">
      <c r="A12" s="224" t="s">
        <v>640</v>
      </c>
      <c r="B12" s="213">
        <v>5</v>
      </c>
      <c r="C12" s="211">
        <v>0</v>
      </c>
      <c r="D12" s="211">
        <v>0</v>
      </c>
      <c r="E12" s="211">
        <v>0</v>
      </c>
      <c r="F12" s="211">
        <v>0</v>
      </c>
      <c r="G12" s="211">
        <v>0</v>
      </c>
      <c r="H12" s="211">
        <v>0</v>
      </c>
      <c r="I12" s="94" t="s">
        <v>772</v>
      </c>
      <c r="J12" s="9" t="s">
        <v>788</v>
      </c>
    </row>
    <row r="13" spans="1:10" ht="71.25" hidden="1">
      <c r="A13" s="224"/>
      <c r="B13" s="213"/>
      <c r="C13" s="211"/>
      <c r="D13" s="211"/>
      <c r="E13" s="211"/>
      <c r="F13" s="211"/>
      <c r="G13" s="211"/>
      <c r="H13" s="211"/>
      <c r="I13" s="94" t="s">
        <v>779</v>
      </c>
      <c r="J13" s="9"/>
    </row>
    <row r="14" spans="1:10" ht="128.25" hidden="1">
      <c r="A14" s="224"/>
      <c r="B14" s="213"/>
      <c r="C14" s="211"/>
      <c r="D14" s="211"/>
      <c r="E14" s="211"/>
      <c r="F14" s="211"/>
      <c r="G14" s="211"/>
      <c r="H14" s="211"/>
      <c r="I14" s="94" t="s">
        <v>786</v>
      </c>
      <c r="J14" s="9"/>
    </row>
    <row r="15" spans="1:10" ht="32.450000000000003" customHeight="1">
      <c r="A15" s="224" t="s">
        <v>789</v>
      </c>
      <c r="B15" s="213">
        <v>30</v>
      </c>
      <c r="C15" s="211">
        <v>60</v>
      </c>
      <c r="D15" s="211">
        <v>70</v>
      </c>
      <c r="E15" s="211">
        <v>80</v>
      </c>
      <c r="F15" s="211">
        <v>80</v>
      </c>
      <c r="G15" s="211">
        <v>80</v>
      </c>
      <c r="H15" s="211">
        <v>80</v>
      </c>
      <c r="I15" s="94" t="s">
        <v>772</v>
      </c>
      <c r="J15" s="102" t="s">
        <v>790</v>
      </c>
    </row>
    <row r="16" spans="1:10" ht="15.6" customHeight="1">
      <c r="A16" s="224"/>
      <c r="B16" s="213"/>
      <c r="C16" s="211"/>
      <c r="D16" s="211"/>
      <c r="E16" s="211"/>
      <c r="F16" s="211"/>
      <c r="G16" s="211"/>
      <c r="H16" s="211"/>
      <c r="I16" s="94" t="s">
        <v>779</v>
      </c>
      <c r="J16" s="9"/>
    </row>
    <row r="17" spans="1:10" ht="14.45" customHeight="1" thickBot="1">
      <c r="A17" s="225"/>
      <c r="B17" s="226"/>
      <c r="C17" s="223"/>
      <c r="D17" s="223"/>
      <c r="E17" s="223"/>
      <c r="F17" s="223"/>
      <c r="G17" s="223"/>
      <c r="H17" s="223"/>
      <c r="I17" s="95" t="s">
        <v>786</v>
      </c>
      <c r="J17" s="13"/>
    </row>
    <row r="18" spans="1:10" ht="14.65" thickBot="1"/>
    <row r="19" spans="1:10" ht="14.65" thickBot="1">
      <c r="A19" s="115" t="s">
        <v>791</v>
      </c>
      <c r="B19" s="86">
        <v>2020</v>
      </c>
      <c r="C19" s="80">
        <v>2025</v>
      </c>
      <c r="D19" s="80">
        <v>2030</v>
      </c>
      <c r="E19" s="80">
        <v>2035</v>
      </c>
      <c r="F19" s="80">
        <v>2040</v>
      </c>
      <c r="G19" s="80">
        <v>2045</v>
      </c>
      <c r="H19" s="80">
        <v>2050</v>
      </c>
      <c r="I19" s="81" t="s">
        <v>567</v>
      </c>
      <c r="J19" s="82" t="s">
        <v>568</v>
      </c>
    </row>
    <row r="20" spans="1:10" ht="71.25">
      <c r="A20" s="119" t="s">
        <v>761</v>
      </c>
      <c r="B20" s="87">
        <v>827.32</v>
      </c>
      <c r="C20" s="78">
        <v>778.69899999999996</v>
      </c>
      <c r="D20" s="78">
        <v>699.50400000000002</v>
      </c>
      <c r="E20" s="78">
        <v>631.02800000000002</v>
      </c>
      <c r="F20" s="78">
        <v>550.84100000000001</v>
      </c>
      <c r="G20" s="78">
        <v>472.60300000000001</v>
      </c>
      <c r="H20" s="78">
        <v>370.28199999999998</v>
      </c>
      <c r="I20" s="93" t="s">
        <v>762</v>
      </c>
      <c r="J20" s="103" t="s">
        <v>792</v>
      </c>
    </row>
    <row r="21" spans="1:10" ht="33" customHeight="1">
      <c r="A21" s="108" t="s">
        <v>764</v>
      </c>
      <c r="B21" s="88" t="s">
        <v>793</v>
      </c>
      <c r="C21" s="73" t="s">
        <v>794</v>
      </c>
      <c r="D21" s="73" t="s">
        <v>795</v>
      </c>
      <c r="E21" s="73" t="s">
        <v>796</v>
      </c>
      <c r="F21" s="73" t="s">
        <v>797</v>
      </c>
      <c r="G21" s="73" t="s">
        <v>798</v>
      </c>
      <c r="H21" s="73" t="s">
        <v>799</v>
      </c>
      <c r="I21" s="94" t="s">
        <v>772</v>
      </c>
      <c r="J21" s="121" t="s">
        <v>773</v>
      </c>
    </row>
    <row r="22" spans="1:10">
      <c r="A22" s="108" t="s">
        <v>629</v>
      </c>
      <c r="B22" s="88">
        <v>0</v>
      </c>
      <c r="C22" s="73">
        <v>0</v>
      </c>
      <c r="D22" s="73">
        <v>0</v>
      </c>
      <c r="E22" s="73">
        <v>0</v>
      </c>
      <c r="F22" s="73">
        <v>0</v>
      </c>
      <c r="G22" s="73">
        <v>0</v>
      </c>
      <c r="H22" s="73">
        <v>0</v>
      </c>
      <c r="I22" s="94"/>
      <c r="J22" s="9"/>
    </row>
    <row r="23" spans="1:10" ht="61.15" customHeight="1">
      <c r="A23" s="108" t="s">
        <v>774</v>
      </c>
      <c r="B23" s="88">
        <v>63</v>
      </c>
      <c r="C23" s="73">
        <v>70</v>
      </c>
      <c r="D23" s="73">
        <v>72</v>
      </c>
      <c r="E23" s="73">
        <v>75</v>
      </c>
      <c r="F23" s="73">
        <v>77</v>
      </c>
      <c r="G23" s="73">
        <v>78.7</v>
      </c>
      <c r="H23" s="73">
        <v>80</v>
      </c>
      <c r="I23" s="94" t="s">
        <v>775</v>
      </c>
      <c r="J23" s="118" t="s">
        <v>800</v>
      </c>
    </row>
    <row r="24" spans="1:10" ht="28.5">
      <c r="A24" s="108" t="s">
        <v>631</v>
      </c>
      <c r="B24" s="88">
        <v>52.909523809523805</v>
      </c>
      <c r="C24" s="73">
        <v>47.618571428571428</v>
      </c>
      <c r="D24" s="73">
        <v>46.295833333333334</v>
      </c>
      <c r="E24" s="73">
        <v>44.443999999999996</v>
      </c>
      <c r="F24" s="73">
        <v>43.289610389610388</v>
      </c>
      <c r="G24" s="73">
        <v>42.354510800508258</v>
      </c>
      <c r="H24" s="73">
        <v>41.666249999999998</v>
      </c>
      <c r="I24" s="94"/>
      <c r="J24" s="118" t="s">
        <v>777</v>
      </c>
    </row>
    <row r="25" spans="1:10" ht="114">
      <c r="A25" s="108" t="s">
        <v>778</v>
      </c>
      <c r="B25" s="88">
        <v>7.3999999999999996E-2</v>
      </c>
      <c r="C25" s="73">
        <v>7.3999999999999996E-2</v>
      </c>
      <c r="D25" s="73">
        <v>7.3999999999999996E-2</v>
      </c>
      <c r="E25" s="73">
        <v>7.3999999999999996E-2</v>
      </c>
      <c r="F25" s="73">
        <v>7.3999999999999996E-2</v>
      </c>
      <c r="G25" s="73">
        <v>7.3999999999999996E-2</v>
      </c>
      <c r="H25" s="73">
        <v>7.3999999999999996E-2</v>
      </c>
      <c r="I25" s="94" t="s">
        <v>801</v>
      </c>
      <c r="J25" s="102" t="s">
        <v>780</v>
      </c>
    </row>
    <row r="26" spans="1:10" ht="17.45" customHeight="1">
      <c r="A26" s="108" t="s">
        <v>781</v>
      </c>
      <c r="B26" s="88">
        <v>25</v>
      </c>
      <c r="C26" s="73">
        <v>30</v>
      </c>
      <c r="D26" s="73">
        <v>32</v>
      </c>
      <c r="E26" s="73">
        <v>32</v>
      </c>
      <c r="F26" s="73">
        <v>32</v>
      </c>
      <c r="G26" s="73">
        <v>32</v>
      </c>
      <c r="H26" s="73">
        <v>35</v>
      </c>
      <c r="I26" s="94" t="s">
        <v>782</v>
      </c>
      <c r="J26" s="102"/>
    </row>
    <row r="27" spans="1:10" ht="13.9" customHeight="1">
      <c r="A27" s="108" t="s">
        <v>783</v>
      </c>
      <c r="B27" s="88">
        <v>50000</v>
      </c>
      <c r="C27" s="73">
        <v>72500</v>
      </c>
      <c r="D27" s="73">
        <v>90000</v>
      </c>
      <c r="E27" s="73">
        <v>90000</v>
      </c>
      <c r="F27" s="73">
        <v>90000</v>
      </c>
      <c r="G27" s="73">
        <v>100000</v>
      </c>
      <c r="H27" s="73">
        <v>150000</v>
      </c>
      <c r="I27" s="94" t="s">
        <v>784</v>
      </c>
      <c r="J27" s="9"/>
    </row>
    <row r="28" spans="1:10" ht="28.5">
      <c r="A28" s="108" t="s">
        <v>609</v>
      </c>
      <c r="B28" s="88">
        <v>1890</v>
      </c>
      <c r="C28" s="73">
        <v>2100</v>
      </c>
      <c r="D28" s="73">
        <v>2160</v>
      </c>
      <c r="E28" s="73">
        <v>2250</v>
      </c>
      <c r="F28" s="73">
        <v>2310</v>
      </c>
      <c r="G28" s="73">
        <v>2361</v>
      </c>
      <c r="H28" s="73">
        <v>2400</v>
      </c>
      <c r="I28" s="97"/>
      <c r="J28" s="121" t="s">
        <v>785</v>
      </c>
    </row>
    <row r="29" spans="1:10" ht="15" customHeight="1">
      <c r="A29" s="108" t="s">
        <v>607</v>
      </c>
      <c r="B29" s="88">
        <v>100</v>
      </c>
      <c r="C29" s="73">
        <v>100</v>
      </c>
      <c r="D29" s="73">
        <v>100</v>
      </c>
      <c r="E29" s="73">
        <v>100</v>
      </c>
      <c r="F29" s="73">
        <v>100</v>
      </c>
      <c r="G29" s="73">
        <v>100</v>
      </c>
      <c r="H29" s="73">
        <v>100</v>
      </c>
      <c r="I29" s="94" t="s">
        <v>786</v>
      </c>
      <c r="J29" s="9" t="s">
        <v>802</v>
      </c>
    </row>
    <row r="30" spans="1:10" ht="13.9" customHeight="1">
      <c r="A30" s="224" t="s">
        <v>640</v>
      </c>
      <c r="B30" s="213">
        <v>20</v>
      </c>
      <c r="C30" s="211">
        <v>15</v>
      </c>
      <c r="D30" s="211">
        <v>10</v>
      </c>
      <c r="E30" s="211">
        <v>10</v>
      </c>
      <c r="F30" s="211">
        <v>10</v>
      </c>
      <c r="G30" s="211">
        <v>5</v>
      </c>
      <c r="H30" s="211">
        <v>5</v>
      </c>
      <c r="I30" s="94" t="s">
        <v>772</v>
      </c>
      <c r="J30" s="227" t="s">
        <v>788</v>
      </c>
    </row>
    <row r="31" spans="1:10" ht="71.25" hidden="1">
      <c r="A31" s="224"/>
      <c r="B31" s="213"/>
      <c r="C31" s="211"/>
      <c r="D31" s="211"/>
      <c r="E31" s="211"/>
      <c r="F31" s="211"/>
      <c r="G31" s="211"/>
      <c r="H31" s="211"/>
      <c r="I31" s="94" t="s">
        <v>779</v>
      </c>
      <c r="J31" s="227"/>
    </row>
    <row r="32" spans="1:10" ht="128.25" hidden="1">
      <c r="A32" s="224"/>
      <c r="B32" s="213"/>
      <c r="C32" s="211"/>
      <c r="D32" s="211"/>
      <c r="E32" s="211"/>
      <c r="F32" s="211"/>
      <c r="G32" s="211"/>
      <c r="H32" s="211"/>
      <c r="I32" s="94" t="s">
        <v>786</v>
      </c>
      <c r="J32" s="227"/>
    </row>
    <row r="33" spans="1:10" ht="12.6" customHeight="1">
      <c r="A33" s="224" t="s">
        <v>789</v>
      </c>
      <c r="B33" s="213" t="s">
        <v>44</v>
      </c>
      <c r="C33" s="211">
        <v>15</v>
      </c>
      <c r="D33" s="211">
        <v>30</v>
      </c>
      <c r="E33" s="211">
        <v>30</v>
      </c>
      <c r="F33" s="211">
        <v>30</v>
      </c>
      <c r="G33" s="211">
        <v>70</v>
      </c>
      <c r="H33" s="211">
        <v>70</v>
      </c>
      <c r="I33" s="94" t="s">
        <v>772</v>
      </c>
      <c r="J33" s="214" t="s">
        <v>803</v>
      </c>
    </row>
    <row r="34" spans="1:10" ht="11.45" customHeight="1">
      <c r="A34" s="224"/>
      <c r="B34" s="213"/>
      <c r="C34" s="211"/>
      <c r="D34" s="211"/>
      <c r="E34" s="211"/>
      <c r="F34" s="211"/>
      <c r="G34" s="211"/>
      <c r="H34" s="211"/>
      <c r="I34" s="94" t="s">
        <v>779</v>
      </c>
      <c r="J34" s="214"/>
    </row>
    <row r="35" spans="1:10" ht="13.15" customHeight="1" thickBot="1">
      <c r="A35" s="225"/>
      <c r="B35" s="226"/>
      <c r="C35" s="223"/>
      <c r="D35" s="223"/>
      <c r="E35" s="223"/>
      <c r="F35" s="223"/>
      <c r="G35" s="223"/>
      <c r="H35" s="223"/>
      <c r="I35" s="95" t="s">
        <v>786</v>
      </c>
      <c r="J35" s="228"/>
    </row>
    <row r="36" spans="1:10" ht="14.65" thickBot="1"/>
    <row r="37" spans="1:10" ht="28.9" thickBot="1">
      <c r="A37" s="115" t="s">
        <v>804</v>
      </c>
      <c r="B37" s="86">
        <v>2020</v>
      </c>
      <c r="C37" s="80">
        <v>2025</v>
      </c>
      <c r="D37" s="80">
        <v>2030</v>
      </c>
      <c r="E37" s="80">
        <v>2035</v>
      </c>
      <c r="F37" s="80">
        <v>2040</v>
      </c>
      <c r="G37" s="80">
        <v>2045</v>
      </c>
      <c r="H37" s="80">
        <v>2050</v>
      </c>
      <c r="I37" s="107" t="s">
        <v>567</v>
      </c>
      <c r="J37" s="82" t="s">
        <v>568</v>
      </c>
    </row>
    <row r="38" spans="1:10" ht="71.25">
      <c r="A38" s="119" t="s">
        <v>761</v>
      </c>
      <c r="B38" s="87">
        <v>1133.6000000000001</v>
      </c>
      <c r="C38" s="78">
        <v>871.17888000000005</v>
      </c>
      <c r="D38" s="78">
        <v>656.24</v>
      </c>
      <c r="E38" s="78">
        <v>488.8</v>
      </c>
      <c r="F38" s="78">
        <v>368.86720000000003</v>
      </c>
      <c r="G38" s="78">
        <v>296.41039999999998</v>
      </c>
      <c r="H38" s="78">
        <v>271.44</v>
      </c>
      <c r="I38" s="93" t="s">
        <v>762</v>
      </c>
      <c r="J38" s="103" t="s">
        <v>805</v>
      </c>
    </row>
    <row r="39" spans="1:10" ht="27" customHeight="1">
      <c r="A39" s="108" t="s">
        <v>764</v>
      </c>
      <c r="B39" s="88" t="s">
        <v>806</v>
      </c>
      <c r="C39" s="73" t="s">
        <v>807</v>
      </c>
      <c r="D39" s="73" t="s">
        <v>808</v>
      </c>
      <c r="E39" s="73" t="s">
        <v>809</v>
      </c>
      <c r="F39" s="73" t="s">
        <v>810</v>
      </c>
      <c r="G39" s="73" t="s">
        <v>811</v>
      </c>
      <c r="H39" s="73" t="s">
        <v>812</v>
      </c>
      <c r="I39" s="94" t="s">
        <v>772</v>
      </c>
      <c r="J39" s="121" t="s">
        <v>813</v>
      </c>
    </row>
    <row r="40" spans="1:10">
      <c r="A40" s="108" t="s">
        <v>629</v>
      </c>
      <c r="B40" s="88">
        <v>0</v>
      </c>
      <c r="C40" s="73">
        <v>0</v>
      </c>
      <c r="D40" s="73">
        <v>0</v>
      </c>
      <c r="E40" s="73">
        <v>0</v>
      </c>
      <c r="F40" s="73">
        <v>0</v>
      </c>
      <c r="G40" s="73">
        <v>0</v>
      </c>
      <c r="H40" s="73">
        <v>0</v>
      </c>
      <c r="I40" s="97"/>
      <c r="J40" s="9"/>
    </row>
    <row r="41" spans="1:10">
      <c r="A41" s="108" t="s">
        <v>774</v>
      </c>
      <c r="B41" s="88">
        <v>56</v>
      </c>
      <c r="C41" s="73">
        <v>63</v>
      </c>
      <c r="D41" s="73">
        <v>69</v>
      </c>
      <c r="E41" s="73">
        <v>71</v>
      </c>
      <c r="F41" s="73">
        <v>72</v>
      </c>
      <c r="G41" s="73">
        <v>73</v>
      </c>
      <c r="H41" s="73">
        <v>74</v>
      </c>
      <c r="I41" s="217" t="s">
        <v>775</v>
      </c>
      <c r="J41" s="99" t="s">
        <v>814</v>
      </c>
    </row>
    <row r="42" spans="1:10" ht="28.5">
      <c r="A42" s="108" t="s">
        <v>631</v>
      </c>
      <c r="B42" s="88">
        <v>59.523214285714275</v>
      </c>
      <c r="C42" s="73">
        <v>52.909523809523805</v>
      </c>
      <c r="D42" s="73">
        <v>48.308695652173917</v>
      </c>
      <c r="E42" s="73">
        <v>46.947887323943661</v>
      </c>
      <c r="F42" s="73">
        <v>46.295833333333334</v>
      </c>
      <c r="G42" s="73">
        <v>45.661643835616438</v>
      </c>
      <c r="H42" s="73">
        <v>45.044594594594592</v>
      </c>
      <c r="I42" s="217"/>
      <c r="J42" s="118" t="s">
        <v>777</v>
      </c>
    </row>
    <row r="43" spans="1:10" ht="114">
      <c r="A43" s="108" t="s">
        <v>778</v>
      </c>
      <c r="B43" s="88">
        <v>7.3999999999999996E-2</v>
      </c>
      <c r="C43" s="73">
        <v>7.3999999999999996E-2</v>
      </c>
      <c r="D43" s="73">
        <v>7.3999999999999996E-2</v>
      </c>
      <c r="E43" s="73">
        <v>7.3999999999999996E-2</v>
      </c>
      <c r="F43" s="73">
        <v>7.3999999999999996E-2</v>
      </c>
      <c r="G43" s="73">
        <v>7.3999999999999996E-2</v>
      </c>
      <c r="H43" s="73">
        <v>7.3999999999999996E-2</v>
      </c>
      <c r="I43" s="94" t="s">
        <v>779</v>
      </c>
      <c r="J43" s="118" t="s">
        <v>780</v>
      </c>
    </row>
    <row r="44" spans="1:10" ht="18" customHeight="1">
      <c r="A44" s="108" t="s">
        <v>781</v>
      </c>
      <c r="B44" s="88">
        <v>20</v>
      </c>
      <c r="C44" s="73">
        <v>25</v>
      </c>
      <c r="D44" s="73">
        <v>28</v>
      </c>
      <c r="E44" s="73">
        <v>28</v>
      </c>
      <c r="F44" s="73">
        <v>28</v>
      </c>
      <c r="G44" s="73">
        <v>28</v>
      </c>
      <c r="H44" s="73">
        <v>30</v>
      </c>
      <c r="I44" s="94" t="s">
        <v>782</v>
      </c>
      <c r="J44" s="118"/>
    </row>
    <row r="45" spans="1:10" ht="20.45" customHeight="1">
      <c r="A45" s="108" t="s">
        <v>783</v>
      </c>
      <c r="B45" s="88">
        <v>30000</v>
      </c>
      <c r="C45" s="73">
        <v>60000</v>
      </c>
      <c r="D45" s="73">
        <v>90000</v>
      </c>
      <c r="E45" s="73">
        <v>90000</v>
      </c>
      <c r="F45" s="73">
        <v>90000</v>
      </c>
      <c r="G45" s="73">
        <v>100000</v>
      </c>
      <c r="H45" s="73">
        <v>150000</v>
      </c>
      <c r="I45" s="94" t="s">
        <v>784</v>
      </c>
      <c r="J45" s="9"/>
    </row>
    <row r="46" spans="1:10" ht="28.5">
      <c r="A46" s="108" t="s">
        <v>609</v>
      </c>
      <c r="B46" s="88">
        <v>1680</v>
      </c>
      <c r="C46" s="73">
        <v>1890</v>
      </c>
      <c r="D46" s="73">
        <v>2070</v>
      </c>
      <c r="E46" s="73">
        <v>2130</v>
      </c>
      <c r="F46" s="73">
        <v>2160</v>
      </c>
      <c r="G46" s="73">
        <v>2190</v>
      </c>
      <c r="H46" s="73">
        <v>2220</v>
      </c>
      <c r="I46" s="97"/>
      <c r="J46" s="9" t="s">
        <v>785</v>
      </c>
    </row>
    <row r="47" spans="1:10" ht="17.45" customHeight="1">
      <c r="A47" s="108" t="s">
        <v>607</v>
      </c>
      <c r="B47" s="88">
        <v>100</v>
      </c>
      <c r="C47" s="73">
        <v>100</v>
      </c>
      <c r="D47" s="73">
        <v>100</v>
      </c>
      <c r="E47" s="73">
        <v>100</v>
      </c>
      <c r="F47" s="73">
        <v>100</v>
      </c>
      <c r="G47" s="73">
        <v>100</v>
      </c>
      <c r="H47" s="73">
        <v>100</v>
      </c>
      <c r="I47" s="94" t="s">
        <v>786</v>
      </c>
      <c r="J47" s="9" t="s">
        <v>787</v>
      </c>
    </row>
    <row r="48" spans="1:10" ht="17.45" customHeight="1">
      <c r="A48" s="224" t="s">
        <v>640</v>
      </c>
      <c r="B48" s="213">
        <v>5</v>
      </c>
      <c r="C48" s="211">
        <v>0</v>
      </c>
      <c r="D48" s="211">
        <v>0</v>
      </c>
      <c r="E48" s="211">
        <v>0</v>
      </c>
      <c r="F48" s="211">
        <v>0</v>
      </c>
      <c r="G48" s="211">
        <v>0</v>
      </c>
      <c r="H48" s="211">
        <v>0</v>
      </c>
      <c r="I48" s="94" t="s">
        <v>772</v>
      </c>
      <c r="J48" s="229" t="s">
        <v>788</v>
      </c>
    </row>
    <row r="49" spans="1:10" ht="18.600000000000001" customHeight="1">
      <c r="A49" s="224"/>
      <c r="B49" s="213"/>
      <c r="C49" s="211"/>
      <c r="D49" s="211"/>
      <c r="E49" s="211"/>
      <c r="F49" s="211"/>
      <c r="G49" s="211"/>
      <c r="H49" s="211"/>
      <c r="I49" s="94" t="s">
        <v>779</v>
      </c>
      <c r="J49" s="230"/>
    </row>
    <row r="50" spans="1:10" ht="16.149999999999999" customHeight="1">
      <c r="A50" s="224"/>
      <c r="B50" s="213"/>
      <c r="C50" s="211"/>
      <c r="D50" s="211"/>
      <c r="E50" s="211"/>
      <c r="F50" s="211"/>
      <c r="G50" s="211"/>
      <c r="H50" s="211"/>
      <c r="I50" s="94" t="s">
        <v>786</v>
      </c>
      <c r="J50" s="231"/>
    </row>
    <row r="51" spans="1:10" ht="15.6" customHeight="1">
      <c r="A51" s="224" t="s">
        <v>789</v>
      </c>
      <c r="B51" s="213">
        <v>30</v>
      </c>
      <c r="C51" s="211">
        <v>60</v>
      </c>
      <c r="D51" s="211">
        <v>70</v>
      </c>
      <c r="E51" s="211">
        <v>80</v>
      </c>
      <c r="F51" s="211">
        <v>80</v>
      </c>
      <c r="G51" s="211">
        <v>80</v>
      </c>
      <c r="H51" s="211">
        <v>80</v>
      </c>
      <c r="I51" s="94" t="s">
        <v>772</v>
      </c>
      <c r="J51" s="232" t="s">
        <v>790</v>
      </c>
    </row>
    <row r="52" spans="1:10" ht="15" customHeight="1">
      <c r="A52" s="224"/>
      <c r="B52" s="213"/>
      <c r="C52" s="211"/>
      <c r="D52" s="211"/>
      <c r="E52" s="211"/>
      <c r="F52" s="211"/>
      <c r="G52" s="211"/>
      <c r="H52" s="211"/>
      <c r="I52" s="94" t="s">
        <v>779</v>
      </c>
      <c r="J52" s="233"/>
    </row>
    <row r="53" spans="1:10" ht="17.45" customHeight="1" thickBot="1">
      <c r="A53" s="225"/>
      <c r="B53" s="226"/>
      <c r="C53" s="223"/>
      <c r="D53" s="223"/>
      <c r="E53" s="223"/>
      <c r="F53" s="223"/>
      <c r="G53" s="223"/>
      <c r="H53" s="223"/>
      <c r="I53" s="95" t="s">
        <v>786</v>
      </c>
      <c r="J53" s="234"/>
    </row>
    <row r="54" spans="1:10" ht="14.65" thickBot="1"/>
    <row r="55" spans="1:10" ht="28.9" thickBot="1">
      <c r="A55" s="115" t="s">
        <v>815</v>
      </c>
      <c r="B55" s="86">
        <v>2020</v>
      </c>
      <c r="C55" s="80">
        <v>2025</v>
      </c>
      <c r="D55" s="80">
        <v>2030</v>
      </c>
      <c r="E55" s="80">
        <v>2035</v>
      </c>
      <c r="F55" s="80">
        <v>2040</v>
      </c>
      <c r="G55" s="80">
        <v>2045</v>
      </c>
      <c r="H55" s="80">
        <v>2050</v>
      </c>
      <c r="I55" s="107" t="s">
        <v>567</v>
      </c>
      <c r="J55" s="82" t="s">
        <v>568</v>
      </c>
    </row>
    <row r="56" spans="1:10" ht="71.25">
      <c r="A56" s="119" t="s">
        <v>761</v>
      </c>
      <c r="B56" s="87">
        <v>1004.64</v>
      </c>
      <c r="C56" s="78">
        <v>935.58400000000006</v>
      </c>
      <c r="D56" s="78">
        <v>858</v>
      </c>
      <c r="E56" s="78">
        <v>771.99199999999996</v>
      </c>
      <c r="F56" s="78">
        <v>677.45600000000002</v>
      </c>
      <c r="G56" s="78">
        <v>574.39199999999994</v>
      </c>
      <c r="H56" s="78">
        <v>462.8</v>
      </c>
      <c r="I56" s="93" t="s">
        <v>762</v>
      </c>
      <c r="J56" s="103" t="s">
        <v>816</v>
      </c>
    </row>
    <row r="57" spans="1:10" ht="35.450000000000003" customHeight="1">
      <c r="A57" s="108" t="s">
        <v>764</v>
      </c>
      <c r="B57" s="88" t="s">
        <v>817</v>
      </c>
      <c r="C57" s="73" t="s">
        <v>818</v>
      </c>
      <c r="D57" s="73" t="s">
        <v>819</v>
      </c>
      <c r="E57" s="73" t="s">
        <v>820</v>
      </c>
      <c r="F57" s="73" t="s">
        <v>821</v>
      </c>
      <c r="G57" s="73" t="s">
        <v>822</v>
      </c>
      <c r="H57" s="73" t="s">
        <v>823</v>
      </c>
      <c r="I57" s="94" t="s">
        <v>772</v>
      </c>
      <c r="J57" s="121" t="s">
        <v>813</v>
      </c>
    </row>
    <row r="58" spans="1:10">
      <c r="A58" s="108" t="s">
        <v>629</v>
      </c>
      <c r="B58" s="88">
        <v>0</v>
      </c>
      <c r="C58" s="73">
        <v>0</v>
      </c>
      <c r="D58" s="73">
        <v>0</v>
      </c>
      <c r="E58" s="73">
        <v>0</v>
      </c>
      <c r="F58" s="73">
        <v>0</v>
      </c>
      <c r="G58" s="73">
        <v>0</v>
      </c>
      <c r="H58" s="73">
        <v>0</v>
      </c>
      <c r="I58" s="94"/>
      <c r="J58" s="9"/>
    </row>
    <row r="59" spans="1:10">
      <c r="A59" s="108" t="s">
        <v>774</v>
      </c>
      <c r="B59" s="88">
        <v>63</v>
      </c>
      <c r="C59" s="73">
        <v>70</v>
      </c>
      <c r="D59" s="73">
        <v>72</v>
      </c>
      <c r="E59" s="73">
        <v>75</v>
      </c>
      <c r="F59" s="73">
        <v>77</v>
      </c>
      <c r="G59" s="73">
        <v>78.7</v>
      </c>
      <c r="H59" s="73">
        <v>80</v>
      </c>
      <c r="I59" s="94"/>
      <c r="J59" s="99" t="s">
        <v>824</v>
      </c>
    </row>
    <row r="60" spans="1:10" ht="28.5">
      <c r="A60" s="108" t="s">
        <v>631</v>
      </c>
      <c r="B60" s="88">
        <v>52.909523809523805</v>
      </c>
      <c r="C60" s="73">
        <v>47.618571428571428</v>
      </c>
      <c r="D60" s="73">
        <v>46.295833333333334</v>
      </c>
      <c r="E60" s="73">
        <v>44.443999999999996</v>
      </c>
      <c r="F60" s="73">
        <v>43.289610389610388</v>
      </c>
      <c r="G60" s="73">
        <v>42.354510800508258</v>
      </c>
      <c r="H60" s="73">
        <v>41.666249999999998</v>
      </c>
      <c r="I60" s="94"/>
      <c r="J60" s="118" t="s">
        <v>777</v>
      </c>
    </row>
    <row r="61" spans="1:10" ht="114">
      <c r="A61" s="108" t="s">
        <v>778</v>
      </c>
      <c r="B61" s="88">
        <v>7.3999999999999996E-2</v>
      </c>
      <c r="C61" s="73">
        <v>7.3999999999999996E-2</v>
      </c>
      <c r="D61" s="73">
        <v>7.3999999999999996E-2</v>
      </c>
      <c r="E61" s="73">
        <v>7.3999999999999996E-2</v>
      </c>
      <c r="F61" s="73">
        <v>7.3999999999999996E-2</v>
      </c>
      <c r="G61" s="73">
        <v>7.3999999999999996E-2</v>
      </c>
      <c r="H61" s="73">
        <v>7.3999999999999996E-2</v>
      </c>
      <c r="I61" s="94" t="s">
        <v>801</v>
      </c>
      <c r="J61" s="102" t="s">
        <v>780</v>
      </c>
    </row>
    <row r="62" spans="1:10" ht="18.600000000000001" customHeight="1">
      <c r="A62" s="108" t="s">
        <v>781</v>
      </c>
      <c r="B62" s="88">
        <v>25</v>
      </c>
      <c r="C62" s="73">
        <v>30</v>
      </c>
      <c r="D62" s="73">
        <v>32</v>
      </c>
      <c r="E62" s="73">
        <v>32</v>
      </c>
      <c r="F62" s="73">
        <v>32</v>
      </c>
      <c r="G62" s="73">
        <v>32</v>
      </c>
      <c r="H62" s="73">
        <v>35</v>
      </c>
      <c r="I62" s="94" t="s">
        <v>782</v>
      </c>
      <c r="J62" s="102"/>
    </row>
    <row r="63" spans="1:10" ht="13.15" customHeight="1">
      <c r="A63" s="108" t="s">
        <v>783</v>
      </c>
      <c r="B63" s="88">
        <v>50000</v>
      </c>
      <c r="C63" s="73">
        <v>72500</v>
      </c>
      <c r="D63" s="73">
        <v>90000</v>
      </c>
      <c r="E63" s="73">
        <v>90000</v>
      </c>
      <c r="F63" s="73">
        <v>90000</v>
      </c>
      <c r="G63" s="73">
        <v>100000</v>
      </c>
      <c r="H63" s="73">
        <v>150000</v>
      </c>
      <c r="I63" s="94" t="s">
        <v>784</v>
      </c>
      <c r="J63" s="9"/>
    </row>
    <row r="64" spans="1:10" ht="28.5">
      <c r="A64" s="108" t="s">
        <v>609</v>
      </c>
      <c r="B64" s="88">
        <v>1890</v>
      </c>
      <c r="C64" s="73">
        <v>2100</v>
      </c>
      <c r="D64" s="73">
        <v>2160</v>
      </c>
      <c r="E64" s="73">
        <v>2250</v>
      </c>
      <c r="F64" s="73">
        <v>2310</v>
      </c>
      <c r="G64" s="73">
        <v>2361</v>
      </c>
      <c r="H64" s="73">
        <v>2400</v>
      </c>
      <c r="I64" s="97"/>
      <c r="J64" s="121" t="s">
        <v>785</v>
      </c>
    </row>
    <row r="65" spans="1:10" ht="15" customHeight="1">
      <c r="A65" s="108" t="s">
        <v>607</v>
      </c>
      <c r="B65" s="88">
        <v>100</v>
      </c>
      <c r="C65" s="73">
        <v>100</v>
      </c>
      <c r="D65" s="73">
        <v>100</v>
      </c>
      <c r="E65" s="73">
        <v>100</v>
      </c>
      <c r="F65" s="73">
        <v>100</v>
      </c>
      <c r="G65" s="73">
        <v>100</v>
      </c>
      <c r="H65" s="73">
        <v>100</v>
      </c>
      <c r="I65" s="94" t="s">
        <v>786</v>
      </c>
      <c r="J65" s="9" t="s">
        <v>802</v>
      </c>
    </row>
    <row r="66" spans="1:10" ht="13.9" customHeight="1">
      <c r="A66" s="224" t="s">
        <v>640</v>
      </c>
      <c r="B66" s="213">
        <v>20</v>
      </c>
      <c r="C66" s="211">
        <v>15</v>
      </c>
      <c r="D66" s="211">
        <v>10</v>
      </c>
      <c r="E66" s="211">
        <v>10</v>
      </c>
      <c r="F66" s="211">
        <v>10</v>
      </c>
      <c r="G66" s="211">
        <v>5</v>
      </c>
      <c r="H66" s="211">
        <v>5</v>
      </c>
      <c r="I66" s="94" t="s">
        <v>772</v>
      </c>
      <c r="J66" s="227" t="s">
        <v>788</v>
      </c>
    </row>
    <row r="67" spans="1:10" ht="14.45" customHeight="1">
      <c r="A67" s="224"/>
      <c r="B67" s="213"/>
      <c r="C67" s="211"/>
      <c r="D67" s="211"/>
      <c r="E67" s="211"/>
      <c r="F67" s="211"/>
      <c r="G67" s="211"/>
      <c r="H67" s="211"/>
      <c r="I67" s="94" t="s">
        <v>779</v>
      </c>
      <c r="J67" s="227"/>
    </row>
    <row r="68" spans="1:10" ht="15.6" customHeight="1">
      <c r="A68" s="224"/>
      <c r="B68" s="213"/>
      <c r="C68" s="211"/>
      <c r="D68" s="211"/>
      <c r="E68" s="211"/>
      <c r="F68" s="211"/>
      <c r="G68" s="211"/>
      <c r="H68" s="211"/>
      <c r="I68" s="94" t="s">
        <v>786</v>
      </c>
      <c r="J68" s="227"/>
    </row>
    <row r="69" spans="1:10" ht="14.45" customHeight="1">
      <c r="A69" s="224" t="s">
        <v>789</v>
      </c>
      <c r="B69" s="213" t="s">
        <v>44</v>
      </c>
      <c r="C69" s="211">
        <v>15</v>
      </c>
      <c r="D69" s="211">
        <v>30</v>
      </c>
      <c r="E69" s="211">
        <v>30</v>
      </c>
      <c r="F69" s="211">
        <v>30</v>
      </c>
      <c r="G69" s="211">
        <v>70</v>
      </c>
      <c r="H69" s="211">
        <v>70</v>
      </c>
      <c r="I69" s="94" t="s">
        <v>772</v>
      </c>
      <c r="J69" s="214" t="s">
        <v>803</v>
      </c>
    </row>
    <row r="70" spans="1:10" ht="13.9" customHeight="1">
      <c r="A70" s="224"/>
      <c r="B70" s="213"/>
      <c r="C70" s="211"/>
      <c r="D70" s="211"/>
      <c r="E70" s="211"/>
      <c r="F70" s="211"/>
      <c r="G70" s="211"/>
      <c r="H70" s="211"/>
      <c r="I70" s="94" t="s">
        <v>779</v>
      </c>
      <c r="J70" s="214"/>
    </row>
    <row r="71" spans="1:10" ht="10.15" customHeight="1" thickBot="1">
      <c r="A71" s="225"/>
      <c r="B71" s="226"/>
      <c r="C71" s="223"/>
      <c r="D71" s="223"/>
      <c r="E71" s="223"/>
      <c r="F71" s="223"/>
      <c r="G71" s="223"/>
      <c r="H71" s="223"/>
      <c r="I71" s="95" t="s">
        <v>786</v>
      </c>
      <c r="J71" s="228"/>
    </row>
    <row r="72" spans="1:10" ht="14.65" thickBot="1"/>
    <row r="73" spans="1:10" ht="28.9" thickBot="1">
      <c r="A73" s="115" t="s">
        <v>825</v>
      </c>
      <c r="B73" s="86">
        <v>2020</v>
      </c>
      <c r="C73" s="80">
        <v>2025</v>
      </c>
      <c r="D73" s="80">
        <v>2030</v>
      </c>
      <c r="E73" s="80">
        <v>2035</v>
      </c>
      <c r="F73" s="80">
        <v>2040</v>
      </c>
      <c r="G73" s="80">
        <v>2045</v>
      </c>
      <c r="H73" s="80">
        <v>2050</v>
      </c>
      <c r="I73" s="81" t="s">
        <v>567</v>
      </c>
      <c r="J73" s="82" t="s">
        <v>568</v>
      </c>
    </row>
    <row r="74" spans="1:10" ht="45" customHeight="1">
      <c r="A74" s="119" t="s">
        <v>619</v>
      </c>
      <c r="B74" s="87">
        <v>28680.046529999996</v>
      </c>
      <c r="C74" s="78">
        <v>24000.09333</v>
      </c>
      <c r="D74" s="78">
        <v>12000</v>
      </c>
      <c r="E74" s="78">
        <v>10000</v>
      </c>
      <c r="F74" s="78">
        <v>8333.25</v>
      </c>
      <c r="G74" s="78">
        <v>6666.5999999999995</v>
      </c>
      <c r="H74" s="78">
        <v>5000</v>
      </c>
      <c r="I74" s="93" t="s">
        <v>826</v>
      </c>
      <c r="J74" s="98" t="s">
        <v>827</v>
      </c>
    </row>
    <row r="75" spans="1:10" ht="28.9" customHeight="1">
      <c r="A75" s="108" t="s">
        <v>622</v>
      </c>
      <c r="B75" s="88" t="s">
        <v>828</v>
      </c>
      <c r="C75" s="73" t="s">
        <v>829</v>
      </c>
      <c r="D75" s="73" t="s">
        <v>830</v>
      </c>
      <c r="E75" s="73" t="s">
        <v>831</v>
      </c>
      <c r="F75" s="73" t="s">
        <v>832</v>
      </c>
      <c r="G75" s="73" t="s">
        <v>833</v>
      </c>
      <c r="H75" s="73" t="s">
        <v>834</v>
      </c>
      <c r="I75" s="94" t="s">
        <v>570</v>
      </c>
      <c r="J75" s="9"/>
    </row>
    <row r="76" spans="1:10" ht="19.149999999999999" customHeight="1">
      <c r="A76" s="108" t="s">
        <v>629</v>
      </c>
      <c r="B76" s="88">
        <v>0</v>
      </c>
      <c r="C76" s="73">
        <v>0</v>
      </c>
      <c r="D76" s="73">
        <v>0</v>
      </c>
      <c r="E76" s="73">
        <v>0</v>
      </c>
      <c r="F76" s="73">
        <v>0</v>
      </c>
      <c r="G76" s="73">
        <v>0</v>
      </c>
      <c r="H76" s="73">
        <v>0</v>
      </c>
      <c r="I76" s="94"/>
      <c r="J76" s="9"/>
    </row>
    <row r="77" spans="1:10" ht="16.899999999999999" customHeight="1">
      <c r="A77" s="108" t="s">
        <v>575</v>
      </c>
      <c r="B77" s="88">
        <v>0.5</v>
      </c>
      <c r="C77" s="73">
        <v>0.5</v>
      </c>
      <c r="D77" s="73">
        <v>0.5</v>
      </c>
      <c r="E77" s="73">
        <v>0.5</v>
      </c>
      <c r="F77" s="73">
        <v>0.5</v>
      </c>
      <c r="G77" s="73">
        <v>0.5</v>
      </c>
      <c r="H77" s="73">
        <v>0.5</v>
      </c>
      <c r="I77" s="97" t="s">
        <v>576</v>
      </c>
      <c r="J77" s="9"/>
    </row>
    <row r="78" spans="1:10" ht="31.9" customHeight="1">
      <c r="A78" s="108" t="s">
        <v>835</v>
      </c>
      <c r="B78" s="88">
        <v>2.8889999999999998</v>
      </c>
      <c r="C78" s="73">
        <v>2.8889999999999998</v>
      </c>
      <c r="D78" s="73">
        <v>2.3637000000000001</v>
      </c>
      <c r="E78" s="73">
        <v>2.3637000000000001</v>
      </c>
      <c r="F78" s="73">
        <v>2.3637000000000001</v>
      </c>
      <c r="G78" s="73">
        <v>2.1010599999999999</v>
      </c>
      <c r="H78" s="73">
        <v>2.1010599999999999</v>
      </c>
      <c r="I78" s="208" t="s">
        <v>578</v>
      </c>
      <c r="J78" s="205" t="s">
        <v>579</v>
      </c>
    </row>
    <row r="79" spans="1:10" ht="28.5">
      <c r="A79" s="108" t="s">
        <v>836</v>
      </c>
      <c r="B79" s="88">
        <v>2.3513500000000001</v>
      </c>
      <c r="C79" s="73">
        <v>2.3513500000000001</v>
      </c>
      <c r="D79" s="73">
        <v>1.9238299999999999</v>
      </c>
      <c r="E79" s="73">
        <v>1.9238299999999999</v>
      </c>
      <c r="F79" s="73">
        <v>1.9238299999999999</v>
      </c>
      <c r="G79" s="73">
        <v>1.71</v>
      </c>
      <c r="H79" s="73">
        <v>1.71</v>
      </c>
      <c r="I79" s="209"/>
      <c r="J79" s="206"/>
    </row>
    <row r="80" spans="1:10" ht="28.5">
      <c r="A80" s="108" t="s">
        <v>837</v>
      </c>
      <c r="B80" s="88">
        <v>2.1163099999999999</v>
      </c>
      <c r="C80" s="73">
        <v>2.1163099999999999</v>
      </c>
      <c r="D80" s="73">
        <v>1.7315199999999999</v>
      </c>
      <c r="E80" s="73">
        <v>1.7315199999999999</v>
      </c>
      <c r="F80" s="73">
        <v>1.7315199999999999</v>
      </c>
      <c r="G80" s="73">
        <v>1.5391300000000001</v>
      </c>
      <c r="H80" s="73">
        <v>1.5391300000000001</v>
      </c>
      <c r="I80" s="209"/>
      <c r="J80" s="206"/>
    </row>
    <row r="81" spans="1:10" ht="28.5">
      <c r="A81" s="108" t="s">
        <v>838</v>
      </c>
      <c r="B81" s="88">
        <v>1.8202</v>
      </c>
      <c r="C81" s="73">
        <v>1.8202</v>
      </c>
      <c r="D81" s="73">
        <v>1.4892399999999999</v>
      </c>
      <c r="E81" s="73">
        <v>1.4892399999999999</v>
      </c>
      <c r="F81" s="73">
        <v>1.4892399999999999</v>
      </c>
      <c r="G81" s="73">
        <v>1.3237699999999999</v>
      </c>
      <c r="H81" s="73">
        <v>1.3237699999999999</v>
      </c>
      <c r="I81" s="209"/>
      <c r="J81" s="206"/>
    </row>
    <row r="82" spans="1:10" ht="28.5">
      <c r="A82" s="108" t="s">
        <v>839</v>
      </c>
      <c r="B82" s="88">
        <v>1.7444999999999999</v>
      </c>
      <c r="C82" s="73">
        <v>1.7444999999999999</v>
      </c>
      <c r="D82" s="73">
        <v>1.4273100000000001</v>
      </c>
      <c r="E82" s="73">
        <v>1.4273100000000001</v>
      </c>
      <c r="F82" s="73">
        <v>1.4273100000000001</v>
      </c>
      <c r="G82" s="73">
        <v>1.2687200000000001</v>
      </c>
      <c r="H82" s="73">
        <v>1.2687200000000001</v>
      </c>
      <c r="I82" s="209"/>
      <c r="J82" s="206"/>
    </row>
    <row r="83" spans="1:10" ht="28.5">
      <c r="A83" s="108" t="s">
        <v>840</v>
      </c>
      <c r="B83" s="88">
        <v>1.67571</v>
      </c>
      <c r="C83" s="73">
        <v>1.67571</v>
      </c>
      <c r="D83" s="73">
        <v>1.37104</v>
      </c>
      <c r="E83" s="73">
        <v>1.37104</v>
      </c>
      <c r="F83" s="73">
        <v>1.37104</v>
      </c>
      <c r="G83" s="73">
        <v>1.2186999999999999</v>
      </c>
      <c r="H83" s="73">
        <v>1.2186999999999999</v>
      </c>
      <c r="I83" s="210"/>
      <c r="J83" s="207"/>
    </row>
    <row r="84" spans="1:10">
      <c r="A84" s="108" t="s">
        <v>607</v>
      </c>
      <c r="B84" s="88">
        <v>100</v>
      </c>
      <c r="C84" s="73">
        <v>100</v>
      </c>
      <c r="D84" s="73">
        <v>100</v>
      </c>
      <c r="E84" s="73">
        <v>100</v>
      </c>
      <c r="F84" s="73">
        <v>100</v>
      </c>
      <c r="G84" s="73">
        <v>100</v>
      </c>
      <c r="H84" s="73">
        <v>100</v>
      </c>
      <c r="I84" s="97"/>
      <c r="J84" s="99" t="s">
        <v>608</v>
      </c>
    </row>
    <row r="85" spans="1:10" ht="28.5">
      <c r="A85" s="108" t="s">
        <v>609</v>
      </c>
      <c r="B85" s="88" t="s">
        <v>841</v>
      </c>
      <c r="C85" s="73" t="s">
        <v>841</v>
      </c>
      <c r="D85" s="73" t="s">
        <v>841</v>
      </c>
      <c r="E85" s="73" t="s">
        <v>841</v>
      </c>
      <c r="F85" s="73" t="s">
        <v>841</v>
      </c>
      <c r="G85" s="73" t="s">
        <v>841</v>
      </c>
      <c r="H85" s="73" t="s">
        <v>841</v>
      </c>
      <c r="I85" s="94"/>
      <c r="J85" s="118" t="s">
        <v>610</v>
      </c>
    </row>
    <row r="86" spans="1:10" ht="15.6" customHeight="1" thickBot="1">
      <c r="A86" s="120" t="s">
        <v>611</v>
      </c>
      <c r="B86" s="89">
        <v>10</v>
      </c>
      <c r="C86" s="75">
        <v>14</v>
      </c>
      <c r="D86" s="75">
        <v>20</v>
      </c>
      <c r="E86" s="75">
        <v>20</v>
      </c>
      <c r="F86" s="75">
        <v>20</v>
      </c>
      <c r="G86" s="75">
        <v>20</v>
      </c>
      <c r="H86" s="75">
        <v>20</v>
      </c>
      <c r="I86" s="95" t="s">
        <v>826</v>
      </c>
      <c r="J86" s="13"/>
    </row>
  </sheetData>
  <mergeCells count="74">
    <mergeCell ref="J48:J50"/>
    <mergeCell ref="J51:J53"/>
    <mergeCell ref="I78:I83"/>
    <mergeCell ref="J66:J68"/>
    <mergeCell ref="A69:A71"/>
    <mergeCell ref="B69:B71"/>
    <mergeCell ref="C69:C71"/>
    <mergeCell ref="D69:D71"/>
    <mergeCell ref="E69:E71"/>
    <mergeCell ref="F69:F71"/>
    <mergeCell ref="G69:G71"/>
    <mergeCell ref="H69:H71"/>
    <mergeCell ref="J69:J71"/>
    <mergeCell ref="G51:G53"/>
    <mergeCell ref="H51:H53"/>
    <mergeCell ref="A66:A68"/>
    <mergeCell ref="G66:G68"/>
    <mergeCell ref="H66:H68"/>
    <mergeCell ref="A51:A53"/>
    <mergeCell ref="B51:B53"/>
    <mergeCell ref="C51:C53"/>
    <mergeCell ref="D51:D53"/>
    <mergeCell ref="E51:E53"/>
    <mergeCell ref="F51:F53"/>
    <mergeCell ref="B66:B68"/>
    <mergeCell ref="C66:C68"/>
    <mergeCell ref="D66:D68"/>
    <mergeCell ref="E66:E68"/>
    <mergeCell ref="F66:F68"/>
    <mergeCell ref="I41:I42"/>
    <mergeCell ref="A48:A50"/>
    <mergeCell ref="B48:B50"/>
    <mergeCell ref="C48:C50"/>
    <mergeCell ref="D48:D50"/>
    <mergeCell ref="E48:E50"/>
    <mergeCell ref="F48:F50"/>
    <mergeCell ref="G48:G50"/>
    <mergeCell ref="H48:H50"/>
    <mergeCell ref="J30:J32"/>
    <mergeCell ref="A33:A35"/>
    <mergeCell ref="B33:B35"/>
    <mergeCell ref="C33:C35"/>
    <mergeCell ref="D33:D35"/>
    <mergeCell ref="E33:E35"/>
    <mergeCell ref="F33:F35"/>
    <mergeCell ref="G33:G35"/>
    <mergeCell ref="H33:H35"/>
    <mergeCell ref="J33:J35"/>
    <mergeCell ref="E30:E32"/>
    <mergeCell ref="F30:F32"/>
    <mergeCell ref="G30:G32"/>
    <mergeCell ref="H30:H32"/>
    <mergeCell ref="D30:D32"/>
    <mergeCell ref="A15:A17"/>
    <mergeCell ref="B15:B17"/>
    <mergeCell ref="C15:C17"/>
    <mergeCell ref="D15:D17"/>
    <mergeCell ref="E15:E17"/>
    <mergeCell ref="F15:F17"/>
    <mergeCell ref="J78:J83"/>
    <mergeCell ref="I5:I6"/>
    <mergeCell ref="A12:A14"/>
    <mergeCell ref="B12:B14"/>
    <mergeCell ref="C12:C14"/>
    <mergeCell ref="D12:D14"/>
    <mergeCell ref="E12:E14"/>
    <mergeCell ref="F12:F14"/>
    <mergeCell ref="G12:G14"/>
    <mergeCell ref="H12:H14"/>
    <mergeCell ref="G15:G17"/>
    <mergeCell ref="H15:H17"/>
    <mergeCell ref="A30:A32"/>
    <mergeCell ref="B30:B32"/>
    <mergeCell ref="C30:C32"/>
  </mergeCells>
  <hyperlinks>
    <hyperlink ref="I2" r:id="rId1" xr:uid="{DA2877D2-5CB1-4728-A4F4-D3908D5D3809}"/>
    <hyperlink ref="I5" r:id="rId2" display="https://op.europa.eu/en/publication-detail/-/publication/7e4afa7d-d077-11ea-adf7-01aa75ed71a1/language-en" xr:uid="{9F2CB12D-01B0-42AE-86B6-7D37B7AC9284}"/>
    <hyperlink ref="I3" r:id="rId3" display="https://www.fch.europa.eu/sites/default/files/P2H_Full_Study_FCHJU.pdf" xr:uid="{7400EE0D-E533-46D4-A3EE-594B77D0741F}"/>
    <hyperlink ref="I15" r:id="rId4" display="https://www.fch.europa.eu/sites/default/files/P2H_Full_Study_FCHJU.pdf" xr:uid="{17503ECB-22AC-4218-ADEA-17BDAEE35A74}"/>
    <hyperlink ref="I16" r:id="rId5" display="https://www.irena.org/publications/2020/Dec/Green-hydrogen-cost-reduction" xr:uid="{245CEBA4-157C-4841-9380-C754F8ABE727}"/>
    <hyperlink ref="I17" r:id="rId6" display="https://www.irena.org/-/media/files/irena/agency/publication/2018/sep/irena_hydrogen_from_renewable_power_2018.pdf" xr:uid="{7A2344B5-D789-451F-BC59-C4C14152CE15}"/>
    <hyperlink ref="I12" r:id="rId7" display="https://www.fch.europa.eu/sites/default/files/P2H_Full_Study_FCHJU.pdf" xr:uid="{B4760053-307C-43CF-BF75-EA74CE1E0481}"/>
    <hyperlink ref="I13" r:id="rId8" display="https://www.irena.org/publications/2020/Dec/Green-hydrogen-cost-reduction" xr:uid="{7ADAA201-A698-4B44-978C-54A44A4007E7}"/>
    <hyperlink ref="I14" r:id="rId9" display="https://www.irena.org/-/media/files/irena/agency/publication/2018/sep/irena_hydrogen_from_renewable_power_2018.pdf" xr:uid="{17910D0E-B4B7-4270-B3FA-D7644EEEF254}"/>
    <hyperlink ref="I11" r:id="rId10" display="https://www.irena.org/-/media/files/irena/agency/publication/2018/sep/irena_hydrogen_from_renewable_power_2018.pdf" xr:uid="{9BDD400D-DF34-4713-AF7B-7DD85E0AA3DC}"/>
    <hyperlink ref="I9" r:id="rId11" xr:uid="{39AED434-C1F8-452B-A425-00B469916DEE}"/>
    <hyperlink ref="I7" r:id="rId12" display="https://www.irena.org/publications/2020/Dec/Green-hydrogen-cost-reduction" xr:uid="{2706360C-9E51-4225-8ED2-EDC67D7B6059}"/>
    <hyperlink ref="I20" r:id="rId13" xr:uid="{F9F0B717-0685-4456-BB00-1655AA9AD5B7}"/>
    <hyperlink ref="I23" r:id="rId14" display="https://op.europa.eu/en/publication-detail/-/publication/7e4afa7d-d077-11ea-adf7-01aa75ed71a1/language-en" xr:uid="{922D59B9-B85A-4121-927F-360920F20B08}"/>
    <hyperlink ref="I21" r:id="rId15" display="https://www.fch.europa.eu/sites/default/files/P2H_Full_Study_FCHJU.pdf" xr:uid="{45C02FF9-D908-4E7F-A48A-1237A0CD0F82}"/>
    <hyperlink ref="I33" r:id="rId16" display="https://www.fch.europa.eu/sites/default/files/P2H_Full_Study_FCHJU.pdf" xr:uid="{D4A0BE00-5D6E-4181-9EF4-4B4A04556F5B}"/>
    <hyperlink ref="I34" r:id="rId17" display="https://www.irena.org/publications/2020/Dec/Green-hydrogen-cost-reduction" xr:uid="{6612C684-D4AE-4940-A348-718F2DCBCF97}"/>
    <hyperlink ref="I35" r:id="rId18" display="https://www.irena.org/-/media/files/irena/agency/publication/2018/sep/irena_hydrogen_from_renewable_power_2018.pdf" xr:uid="{E27470F9-C25E-4F67-BE65-836EA176A29D}"/>
    <hyperlink ref="I30" r:id="rId19" display="https://www.fch.europa.eu/sites/default/files/P2H_Full_Study_FCHJU.pdf" xr:uid="{3A351480-9455-4554-9181-9E18FCB82EDB}"/>
    <hyperlink ref="I31" r:id="rId20" display="https://www.irena.org/publications/2020/Dec/Green-hydrogen-cost-reduction" xr:uid="{CD911540-D107-4E04-AE25-FA7FA6FA3C3D}"/>
    <hyperlink ref="I32" r:id="rId21" display="https://www.irena.org/-/media/files/irena/agency/publication/2018/sep/irena_hydrogen_from_renewable_power_2018.pdf" xr:uid="{D5B11236-2301-4D16-ADF0-341C811F42F3}"/>
    <hyperlink ref="I29" r:id="rId22" display="https://www.irena.org/-/media/files/irena/agency/publication/2018/sep/irena_hydrogen_from_renewable_power_2018.pdf" xr:uid="{36948D95-DD71-416C-A918-CED51A5353DC}"/>
    <hyperlink ref="I27" r:id="rId23" xr:uid="{ED4167CE-E5F0-41DD-953C-927439183A7E}"/>
    <hyperlink ref="I25" r:id="rId24" xr:uid="{7EF87206-6169-4AD9-ABFB-B174C67F343E}"/>
    <hyperlink ref="I38" r:id="rId25" xr:uid="{9B4A3DAD-25F0-408B-8B10-2D39A9C9EC68}"/>
    <hyperlink ref="I41" r:id="rId26" display="https://op.europa.eu/en/publication-detail/-/publication/7e4afa7d-d077-11ea-adf7-01aa75ed71a1/language-en" xr:uid="{2C1E217D-1D70-42E2-814A-7E8041947A6E}"/>
    <hyperlink ref="I39" r:id="rId27" display="https://www.fch.europa.eu/sites/default/files/P2H_Full_Study_FCHJU.pdf" xr:uid="{F2914979-3258-4143-A865-1038F27A7407}"/>
    <hyperlink ref="I51" r:id="rId28" display="https://www.fch.europa.eu/sites/default/files/P2H_Full_Study_FCHJU.pdf" xr:uid="{B5BB15BD-4686-42A3-8217-A5625E0D607F}"/>
    <hyperlink ref="I52" r:id="rId29" display="https://www.irena.org/publications/2020/Dec/Green-hydrogen-cost-reduction" xr:uid="{C09781CD-FD4D-4BE8-A743-6256BE5994FC}"/>
    <hyperlink ref="I53" r:id="rId30" display="https://www.irena.org/-/media/files/irena/agency/publication/2018/sep/irena_hydrogen_from_renewable_power_2018.pdf" xr:uid="{455DFA2C-805B-4337-8EB9-910D340DB636}"/>
    <hyperlink ref="I48" r:id="rId31" display="https://www.fch.europa.eu/sites/default/files/P2H_Full_Study_FCHJU.pdf" xr:uid="{9D1568D9-F3B2-4EE7-8802-9235881CFFB0}"/>
    <hyperlink ref="I49" r:id="rId32" display="https://www.irena.org/publications/2020/Dec/Green-hydrogen-cost-reduction" xr:uid="{F8BFC79E-9A2E-43CB-8645-1BBC82EE9CE4}"/>
    <hyperlink ref="I50" r:id="rId33" display="https://www.irena.org/-/media/files/irena/agency/publication/2018/sep/irena_hydrogen_from_renewable_power_2018.pdf" xr:uid="{0604260D-5828-4DC5-B912-F246A2B8BBBF}"/>
    <hyperlink ref="I47" r:id="rId34" display="https://www.irena.org/-/media/files/irena/agency/publication/2018/sep/irena_hydrogen_from_renewable_power_2018.pdf" xr:uid="{7BF4393E-7DB1-495A-9D2A-28CBEC4FC5D5}"/>
    <hyperlink ref="I45" r:id="rId35" xr:uid="{C8C9830C-EF2C-451E-9769-025AB264CE63}"/>
    <hyperlink ref="I43" r:id="rId36" display="https://www.irena.org/publications/2020/Dec/Green-hydrogen-cost-reduction" xr:uid="{A25FBBB9-62E3-41EC-B2E6-7C40695E03C8}"/>
    <hyperlink ref="I56" r:id="rId37" xr:uid="{8879F039-6680-4970-9281-95E59D913129}"/>
    <hyperlink ref="I57" r:id="rId38" display="https://www.fch.europa.eu/sites/default/files/P2H_Full_Study_FCHJU.pdf" xr:uid="{9F6118AD-0B7E-42F4-BD89-56A7B19E2A5C}"/>
    <hyperlink ref="I69" r:id="rId39" display="https://www.fch.europa.eu/sites/default/files/P2H_Full_Study_FCHJU.pdf" xr:uid="{D2F32DC4-32BC-41D4-ABF1-C709276DAC1A}"/>
    <hyperlink ref="I70" r:id="rId40" display="https://www.irena.org/publications/2020/Dec/Green-hydrogen-cost-reduction" xr:uid="{FBDC7AA9-80F3-4AA0-BE3C-1EBAE0C1F31A}"/>
    <hyperlink ref="I71" r:id="rId41" display="https://www.irena.org/-/media/files/irena/agency/publication/2018/sep/irena_hydrogen_from_renewable_power_2018.pdf" xr:uid="{D1B1EE81-84A8-4DB3-8FDB-86C882F57F83}"/>
    <hyperlink ref="I66" r:id="rId42" display="https://www.fch.europa.eu/sites/default/files/P2H_Full_Study_FCHJU.pdf" xr:uid="{08E0D087-9B59-4A13-BCC3-7A70AD24F98F}"/>
    <hyperlink ref="I67" r:id="rId43" display="https://www.irena.org/publications/2020/Dec/Green-hydrogen-cost-reduction" xr:uid="{EE04D913-38CC-4AE8-9436-AF65DADB69F3}"/>
    <hyperlink ref="I68" r:id="rId44" display="https://www.irena.org/-/media/files/irena/agency/publication/2018/sep/irena_hydrogen_from_renewable_power_2018.pdf" xr:uid="{373AA538-CA1F-4977-B828-604522C3B621}"/>
    <hyperlink ref="I65" r:id="rId45" display="https://www.irena.org/-/media/files/irena/agency/publication/2018/sep/irena_hydrogen_from_renewable_power_2018.pdf" xr:uid="{DA984088-3374-4608-99B4-A1C1BB759442}"/>
    <hyperlink ref="I63" r:id="rId46" xr:uid="{279CBD79-4198-473A-BDC2-40B909FA17D1}"/>
    <hyperlink ref="I61" r:id="rId47" xr:uid="{D2757046-AB1F-478C-A49D-C26913DFF9B0}"/>
    <hyperlink ref="I78" r:id="rId48" display="https://ens.dk/en/our-services/projections-and-models/technology-data/technology-catalogue-transport-energy" xr:uid="{51624068-8E73-455D-9568-DC43CEAAE889}"/>
    <hyperlink ref="I74" r:id="rId49" xr:uid="{6FD8ACB6-76BF-402B-A5C5-BCA316BB52AC}"/>
    <hyperlink ref="I86" r:id="rId50" xr:uid="{3516BDA1-0A87-4E02-8824-10ADEFF82414}"/>
    <hyperlink ref="I8" r:id="rId51" xr:uid="{3D483EC0-0214-4220-B0E4-89EEBACD51F0}"/>
    <hyperlink ref="I26" r:id="rId52" xr:uid="{7E214695-ED04-49A0-8600-EAB800F39167}"/>
    <hyperlink ref="I44" r:id="rId53" xr:uid="{DEA343B0-EF93-4365-AEE0-006C73D4E825}"/>
    <hyperlink ref="I62" r:id="rId54" xr:uid="{50AA50EE-0E3D-4F18-AF0D-E64649F4976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D876B-6D36-428E-8BFD-E68388C94767}">
  <sheetPr codeName="Hoja8"/>
  <dimension ref="A1:J119"/>
  <sheetViews>
    <sheetView topLeftCell="A87" workbookViewId="0">
      <selection activeCell="B30" sqref="B30"/>
    </sheetView>
  </sheetViews>
  <sheetFormatPr defaultColWidth="11.42578125" defaultRowHeight="14.25"/>
  <cols>
    <col min="1" max="1" width="42.42578125" bestFit="1" customWidth="1"/>
    <col min="2" max="8" width="12.7109375" bestFit="1" customWidth="1"/>
    <col min="9" max="9" width="11.5703125" style="71"/>
    <col min="10" max="10" width="63.85546875" customWidth="1"/>
  </cols>
  <sheetData>
    <row r="1" spans="1:10" ht="14.65" thickBot="1">
      <c r="A1" s="114" t="s">
        <v>842</v>
      </c>
      <c r="B1" s="86">
        <v>2020</v>
      </c>
      <c r="C1" s="80">
        <v>2025</v>
      </c>
      <c r="D1" s="80">
        <v>2030</v>
      </c>
      <c r="E1" s="80">
        <v>2035</v>
      </c>
      <c r="F1" s="80">
        <v>2040</v>
      </c>
      <c r="G1" s="80">
        <v>2045</v>
      </c>
      <c r="H1" s="80">
        <v>2050</v>
      </c>
      <c r="I1" s="81" t="s">
        <v>567</v>
      </c>
      <c r="J1" s="82" t="s">
        <v>568</v>
      </c>
    </row>
    <row r="2" spans="1:10">
      <c r="A2" s="90" t="s">
        <v>843</v>
      </c>
      <c r="B2" s="87">
        <v>490</v>
      </c>
      <c r="C2" s="78">
        <v>490</v>
      </c>
      <c r="D2" s="78">
        <v>490</v>
      </c>
      <c r="E2" s="78">
        <v>490</v>
      </c>
      <c r="F2" s="78">
        <v>490</v>
      </c>
      <c r="G2" s="78">
        <v>490</v>
      </c>
      <c r="H2" s="78">
        <v>490</v>
      </c>
      <c r="I2" s="210" t="s">
        <v>693</v>
      </c>
      <c r="J2" s="83"/>
    </row>
    <row r="3" spans="1:10">
      <c r="A3" s="91" t="s">
        <v>844</v>
      </c>
      <c r="B3" s="88" t="s">
        <v>845</v>
      </c>
      <c r="C3" s="73" t="s">
        <v>845</v>
      </c>
      <c r="D3" s="73" t="s">
        <v>845</v>
      </c>
      <c r="E3" s="73" t="s">
        <v>845</v>
      </c>
      <c r="F3" s="73" t="s">
        <v>845</v>
      </c>
      <c r="G3" s="73" t="s">
        <v>845</v>
      </c>
      <c r="H3" s="73" t="s">
        <v>845</v>
      </c>
      <c r="I3" s="216"/>
      <c r="J3" s="9"/>
    </row>
    <row r="4" spans="1:10">
      <c r="A4" s="91" t="s">
        <v>629</v>
      </c>
      <c r="B4" s="88">
        <v>0</v>
      </c>
      <c r="C4" s="73">
        <v>0</v>
      </c>
      <c r="D4" s="73">
        <v>0</v>
      </c>
      <c r="E4" s="73">
        <v>0</v>
      </c>
      <c r="F4" s="73">
        <v>0</v>
      </c>
      <c r="G4" s="73">
        <v>0</v>
      </c>
      <c r="H4" s="73">
        <v>0</v>
      </c>
      <c r="I4" s="216"/>
      <c r="J4" s="9"/>
    </row>
    <row r="5" spans="1:10">
      <c r="A5" s="91" t="s">
        <v>846</v>
      </c>
      <c r="B5" s="88">
        <v>0</v>
      </c>
      <c r="C5" s="73">
        <v>0</v>
      </c>
      <c r="D5" s="73">
        <v>0</v>
      </c>
      <c r="E5" s="73">
        <v>0</v>
      </c>
      <c r="F5" s="73">
        <v>0</v>
      </c>
      <c r="G5" s="73">
        <v>0</v>
      </c>
      <c r="H5" s="73">
        <v>0</v>
      </c>
      <c r="I5" s="216"/>
      <c r="J5" s="9"/>
    </row>
    <row r="6" spans="1:10">
      <c r="A6" s="91" t="s">
        <v>847</v>
      </c>
      <c r="B6" s="88">
        <v>3000</v>
      </c>
      <c r="C6" s="73">
        <v>3000</v>
      </c>
      <c r="D6" s="73">
        <v>3000</v>
      </c>
      <c r="E6" s="73">
        <v>3000</v>
      </c>
      <c r="F6" s="73">
        <v>3000</v>
      </c>
      <c r="G6" s="73">
        <v>3000</v>
      </c>
      <c r="H6" s="73">
        <v>3000</v>
      </c>
      <c r="I6" s="216"/>
      <c r="J6" s="9"/>
    </row>
    <row r="7" spans="1:10">
      <c r="A7" s="91" t="s">
        <v>848</v>
      </c>
      <c r="B7" s="88">
        <v>365</v>
      </c>
      <c r="C7" s="73">
        <v>365</v>
      </c>
      <c r="D7" s="73">
        <v>365</v>
      </c>
      <c r="E7" s="73">
        <v>365</v>
      </c>
      <c r="F7" s="73">
        <v>365</v>
      </c>
      <c r="G7" s="73">
        <v>365</v>
      </c>
      <c r="H7" s="73">
        <v>365</v>
      </c>
      <c r="I7" s="216"/>
      <c r="J7" s="9" t="s">
        <v>849</v>
      </c>
    </row>
    <row r="8" spans="1:10" ht="28.5">
      <c r="A8" s="91" t="s">
        <v>850</v>
      </c>
      <c r="B8" s="88">
        <v>4.2</v>
      </c>
      <c r="C8" s="73">
        <v>4.2</v>
      </c>
      <c r="D8" s="73">
        <v>4.2</v>
      </c>
      <c r="E8" s="73">
        <v>4.2</v>
      </c>
      <c r="F8" s="73">
        <v>4.2</v>
      </c>
      <c r="G8" s="73">
        <v>4.2</v>
      </c>
      <c r="H8" s="73">
        <v>4.2</v>
      </c>
      <c r="I8" s="216"/>
      <c r="J8" s="99" t="s">
        <v>851</v>
      </c>
    </row>
    <row r="9" spans="1:10">
      <c r="A9" s="91" t="s">
        <v>640</v>
      </c>
      <c r="B9" s="88">
        <v>0</v>
      </c>
      <c r="C9" s="73">
        <v>0</v>
      </c>
      <c r="D9" s="73">
        <v>0</v>
      </c>
      <c r="E9" s="73">
        <v>0</v>
      </c>
      <c r="F9" s="73">
        <v>0</v>
      </c>
      <c r="G9" s="73">
        <v>0</v>
      </c>
      <c r="H9" s="73">
        <v>0</v>
      </c>
      <c r="I9" s="216"/>
      <c r="J9" s="9"/>
    </row>
    <row r="10" spans="1:10">
      <c r="A10" s="91" t="s">
        <v>611</v>
      </c>
      <c r="B10" s="88">
        <v>20</v>
      </c>
      <c r="C10" s="73">
        <v>20</v>
      </c>
      <c r="D10" s="73">
        <v>20</v>
      </c>
      <c r="E10" s="73">
        <v>20</v>
      </c>
      <c r="F10" s="73">
        <v>20</v>
      </c>
      <c r="G10" s="73">
        <v>20</v>
      </c>
      <c r="H10" s="73">
        <v>20</v>
      </c>
      <c r="I10" s="216"/>
      <c r="J10" s="9"/>
    </row>
    <row r="11" spans="1:10" ht="14.65" thickBot="1">
      <c r="A11" s="92" t="s">
        <v>789</v>
      </c>
      <c r="B11" s="89">
        <v>30</v>
      </c>
      <c r="C11" s="75">
        <v>30</v>
      </c>
      <c r="D11" s="75">
        <v>30</v>
      </c>
      <c r="E11" s="75">
        <v>30</v>
      </c>
      <c r="F11" s="75">
        <v>30</v>
      </c>
      <c r="G11" s="75">
        <v>30</v>
      </c>
      <c r="H11" s="75">
        <v>30</v>
      </c>
      <c r="I11" s="220"/>
      <c r="J11" s="13"/>
    </row>
    <row r="12" spans="1:10" ht="14.65" thickBot="1">
      <c r="B12" s="35"/>
      <c r="C12" s="35"/>
      <c r="D12" s="35"/>
      <c r="E12" s="35"/>
      <c r="F12" s="35"/>
      <c r="G12" s="35"/>
      <c r="H12" s="35"/>
      <c r="I12" s="96"/>
    </row>
    <row r="13" spans="1:10" ht="14.65" thickBot="1">
      <c r="A13" s="114" t="s">
        <v>852</v>
      </c>
      <c r="B13" s="86">
        <v>2020</v>
      </c>
      <c r="C13" s="80">
        <v>2025</v>
      </c>
      <c r="D13" s="80">
        <v>2030</v>
      </c>
      <c r="E13" s="80">
        <v>2035</v>
      </c>
      <c r="F13" s="80">
        <v>2040</v>
      </c>
      <c r="G13" s="80">
        <v>2045</v>
      </c>
      <c r="H13" s="80">
        <v>2050</v>
      </c>
      <c r="I13" s="81" t="s">
        <v>567</v>
      </c>
      <c r="J13" s="82" t="s">
        <v>568</v>
      </c>
    </row>
    <row r="14" spans="1:10">
      <c r="A14" s="90" t="s">
        <v>853</v>
      </c>
      <c r="B14" s="87">
        <v>380</v>
      </c>
      <c r="C14" s="78">
        <v>380</v>
      </c>
      <c r="D14" s="78">
        <v>380</v>
      </c>
      <c r="E14" s="78">
        <v>380</v>
      </c>
      <c r="F14" s="78">
        <v>380</v>
      </c>
      <c r="G14" s="78">
        <v>380</v>
      </c>
      <c r="H14" s="78">
        <v>380</v>
      </c>
      <c r="I14" s="210" t="s">
        <v>854</v>
      </c>
      <c r="J14" s="103"/>
    </row>
    <row r="15" spans="1:10">
      <c r="A15" s="91" t="s">
        <v>844</v>
      </c>
      <c r="B15" s="88" t="s">
        <v>855</v>
      </c>
      <c r="C15" s="73" t="s">
        <v>855</v>
      </c>
      <c r="D15" s="73" t="s">
        <v>855</v>
      </c>
      <c r="E15" s="73" t="s">
        <v>855</v>
      </c>
      <c r="F15" s="73" t="s">
        <v>855</v>
      </c>
      <c r="G15" s="73" t="s">
        <v>855</v>
      </c>
      <c r="H15" s="73" t="s">
        <v>855</v>
      </c>
      <c r="I15" s="217"/>
      <c r="J15" s="9"/>
    </row>
    <row r="16" spans="1:10">
      <c r="A16" s="91" t="s">
        <v>629</v>
      </c>
      <c r="B16" s="88">
        <v>0</v>
      </c>
      <c r="C16" s="73">
        <v>0</v>
      </c>
      <c r="D16" s="73">
        <v>0</v>
      </c>
      <c r="E16" s="73">
        <v>0</v>
      </c>
      <c r="F16" s="73">
        <v>0</v>
      </c>
      <c r="G16" s="73">
        <v>0</v>
      </c>
      <c r="H16" s="73">
        <v>0</v>
      </c>
      <c r="I16" s="217"/>
      <c r="J16" s="9"/>
    </row>
    <row r="17" spans="1:10">
      <c r="A17" s="91" t="s">
        <v>846</v>
      </c>
      <c r="B17" s="88">
        <v>0</v>
      </c>
      <c r="C17" s="73">
        <v>0</v>
      </c>
      <c r="D17" s="73">
        <v>0</v>
      </c>
      <c r="E17" s="73">
        <v>0</v>
      </c>
      <c r="F17" s="73">
        <v>0</v>
      </c>
      <c r="G17" s="73">
        <v>0</v>
      </c>
      <c r="H17" s="73">
        <v>0</v>
      </c>
      <c r="I17" s="217"/>
      <c r="J17" s="9"/>
    </row>
    <row r="18" spans="1:10">
      <c r="A18" s="91" t="s">
        <v>847</v>
      </c>
      <c r="B18" s="88">
        <v>3000000</v>
      </c>
      <c r="C18" s="73">
        <v>3000000</v>
      </c>
      <c r="D18" s="73">
        <v>3000000</v>
      </c>
      <c r="E18" s="73">
        <v>3000000</v>
      </c>
      <c r="F18" s="73">
        <v>3000000</v>
      </c>
      <c r="G18" s="73">
        <v>3000000</v>
      </c>
      <c r="H18" s="73">
        <v>3000000</v>
      </c>
      <c r="I18" s="217"/>
      <c r="J18" s="9"/>
    </row>
    <row r="19" spans="1:10">
      <c r="A19" s="91" t="s">
        <v>848</v>
      </c>
      <c r="B19" s="88">
        <v>365</v>
      </c>
      <c r="C19" s="73">
        <v>365</v>
      </c>
      <c r="D19" s="73">
        <v>365</v>
      </c>
      <c r="E19" s="73">
        <v>365</v>
      </c>
      <c r="F19" s="73">
        <v>365</v>
      </c>
      <c r="G19" s="73">
        <v>365</v>
      </c>
      <c r="H19" s="73">
        <v>365</v>
      </c>
      <c r="I19" s="217"/>
      <c r="J19" s="9" t="s">
        <v>849</v>
      </c>
    </row>
    <row r="20" spans="1:10" ht="57">
      <c r="A20" s="91" t="s">
        <v>850</v>
      </c>
      <c r="B20" s="88">
        <v>100</v>
      </c>
      <c r="C20" s="73">
        <v>100</v>
      </c>
      <c r="D20" s="73">
        <v>100</v>
      </c>
      <c r="E20" s="73">
        <v>100</v>
      </c>
      <c r="F20" s="73">
        <v>100</v>
      </c>
      <c r="G20" s="73">
        <v>100</v>
      </c>
      <c r="H20" s="73">
        <v>100</v>
      </c>
      <c r="I20" s="217"/>
      <c r="J20" s="99" t="s">
        <v>856</v>
      </c>
    </row>
    <row r="21" spans="1:10">
      <c r="A21" s="91" t="s">
        <v>640</v>
      </c>
      <c r="B21" s="88">
        <v>0</v>
      </c>
      <c r="C21" s="73">
        <v>0</v>
      </c>
      <c r="D21" s="73">
        <v>0</v>
      </c>
      <c r="E21" s="73">
        <v>0</v>
      </c>
      <c r="F21" s="73">
        <v>0</v>
      </c>
      <c r="G21" s="73">
        <v>0</v>
      </c>
      <c r="H21" s="73">
        <v>0</v>
      </c>
      <c r="I21" s="217"/>
      <c r="J21" s="9"/>
    </row>
    <row r="22" spans="1:10">
      <c r="A22" s="91" t="s">
        <v>611</v>
      </c>
      <c r="B22" s="88">
        <v>20</v>
      </c>
      <c r="C22" s="73">
        <v>20</v>
      </c>
      <c r="D22" s="73">
        <v>20</v>
      </c>
      <c r="E22" s="73">
        <v>20</v>
      </c>
      <c r="F22" s="73">
        <v>20</v>
      </c>
      <c r="G22" s="73">
        <v>20</v>
      </c>
      <c r="H22" s="73">
        <v>20</v>
      </c>
      <c r="I22" s="217"/>
      <c r="J22" s="9"/>
    </row>
    <row r="23" spans="1:10" ht="14.65" thickBot="1">
      <c r="A23" s="92" t="s">
        <v>789</v>
      </c>
      <c r="B23" s="89">
        <v>200</v>
      </c>
      <c r="C23" s="75">
        <v>200</v>
      </c>
      <c r="D23" s="75">
        <v>200</v>
      </c>
      <c r="E23" s="75">
        <v>200</v>
      </c>
      <c r="F23" s="75">
        <v>200</v>
      </c>
      <c r="G23" s="75">
        <v>200</v>
      </c>
      <c r="H23" s="75">
        <v>200</v>
      </c>
      <c r="I23" s="218"/>
      <c r="J23" s="13"/>
    </row>
    <row r="24" spans="1:10" ht="14.65" thickBot="1">
      <c r="B24" s="35"/>
      <c r="C24" s="35"/>
      <c r="D24" s="35"/>
      <c r="E24" s="35"/>
      <c r="F24" s="35"/>
      <c r="G24" s="35"/>
      <c r="H24" s="35"/>
      <c r="I24" s="96"/>
    </row>
    <row r="25" spans="1:10" ht="14.65" thickBot="1">
      <c r="A25" s="114" t="s">
        <v>857</v>
      </c>
      <c r="B25" s="86">
        <v>2020</v>
      </c>
      <c r="C25" s="80">
        <v>2025</v>
      </c>
      <c r="D25" s="80">
        <v>2030</v>
      </c>
      <c r="E25" s="80">
        <v>2035</v>
      </c>
      <c r="F25" s="80">
        <v>2040</v>
      </c>
      <c r="G25" s="80">
        <v>2045</v>
      </c>
      <c r="H25" s="80">
        <v>2050</v>
      </c>
      <c r="I25" s="81" t="s">
        <v>567</v>
      </c>
      <c r="J25" s="82" t="s">
        <v>568</v>
      </c>
    </row>
    <row r="26" spans="1:10" ht="14.45" customHeight="1">
      <c r="A26" s="90" t="s">
        <v>853</v>
      </c>
      <c r="B26" s="87">
        <v>628.14</v>
      </c>
      <c r="C26" s="78">
        <v>628.14</v>
      </c>
      <c r="D26" s="78">
        <v>628.14</v>
      </c>
      <c r="E26" s="78">
        <v>628.14</v>
      </c>
      <c r="F26" s="78">
        <v>628.14</v>
      </c>
      <c r="G26" s="78">
        <v>628.14</v>
      </c>
      <c r="H26" s="78">
        <v>628.14</v>
      </c>
      <c r="I26" s="93" t="s">
        <v>858</v>
      </c>
      <c r="J26" s="83"/>
    </row>
    <row r="27" spans="1:10" ht="15" customHeight="1">
      <c r="A27" s="91" t="s">
        <v>844</v>
      </c>
      <c r="B27" s="88" t="s">
        <v>859</v>
      </c>
      <c r="C27" s="73" t="s">
        <v>859</v>
      </c>
      <c r="D27" s="73" t="s">
        <v>859</v>
      </c>
      <c r="E27" s="73" t="s">
        <v>859</v>
      </c>
      <c r="F27" s="73" t="s">
        <v>859</v>
      </c>
      <c r="G27" s="73" t="s">
        <v>859</v>
      </c>
      <c r="H27" s="73" t="s">
        <v>859</v>
      </c>
      <c r="I27" s="94" t="s">
        <v>860</v>
      </c>
      <c r="J27" s="9"/>
    </row>
    <row r="28" spans="1:10">
      <c r="A28" s="91" t="s">
        <v>629</v>
      </c>
      <c r="B28" s="88">
        <v>0</v>
      </c>
      <c r="C28" s="73">
        <v>0</v>
      </c>
      <c r="D28" s="73">
        <v>0</v>
      </c>
      <c r="E28" s="73">
        <v>0</v>
      </c>
      <c r="F28" s="73">
        <v>0</v>
      </c>
      <c r="G28" s="73">
        <v>0</v>
      </c>
      <c r="H28" s="73">
        <v>0</v>
      </c>
      <c r="I28" s="217" t="s">
        <v>858</v>
      </c>
      <c r="J28" s="9"/>
    </row>
    <row r="29" spans="1:10">
      <c r="A29" s="91" t="s">
        <v>846</v>
      </c>
      <c r="B29" s="88">
        <v>0</v>
      </c>
      <c r="C29" s="73">
        <v>0</v>
      </c>
      <c r="D29" s="73">
        <v>0</v>
      </c>
      <c r="E29" s="73">
        <v>0</v>
      </c>
      <c r="F29" s="73">
        <v>0</v>
      </c>
      <c r="G29" s="73">
        <v>0</v>
      </c>
      <c r="H29" s="73">
        <v>0</v>
      </c>
      <c r="I29" s="217"/>
      <c r="J29" s="9"/>
    </row>
    <row r="30" spans="1:10">
      <c r="A30" s="91" t="s">
        <v>847</v>
      </c>
      <c r="B30" s="88">
        <v>210000</v>
      </c>
      <c r="C30" s="73">
        <v>210000</v>
      </c>
      <c r="D30" s="73">
        <v>210000</v>
      </c>
      <c r="E30" s="73">
        <v>210000</v>
      </c>
      <c r="F30" s="73">
        <v>210000</v>
      </c>
      <c r="G30" s="73">
        <v>210000</v>
      </c>
      <c r="H30" s="73">
        <v>210000</v>
      </c>
      <c r="I30" s="217"/>
      <c r="J30" s="9"/>
    </row>
    <row r="31" spans="1:10">
      <c r="A31" s="91" t="s">
        <v>848</v>
      </c>
      <c r="B31" s="88">
        <v>365</v>
      </c>
      <c r="C31" s="73">
        <v>365</v>
      </c>
      <c r="D31" s="73">
        <v>365</v>
      </c>
      <c r="E31" s="73">
        <v>365</v>
      </c>
      <c r="F31" s="73">
        <v>365</v>
      </c>
      <c r="G31" s="73">
        <v>365</v>
      </c>
      <c r="H31" s="73">
        <v>365</v>
      </c>
      <c r="I31" s="217"/>
      <c r="J31" s="9" t="s">
        <v>849</v>
      </c>
    </row>
    <row r="32" spans="1:10" ht="28.5">
      <c r="A32" s="91" t="s">
        <v>850</v>
      </c>
      <c r="B32" s="88">
        <v>4.2</v>
      </c>
      <c r="C32" s="73">
        <v>4.2</v>
      </c>
      <c r="D32" s="73">
        <v>4.2</v>
      </c>
      <c r="E32" s="73">
        <v>4.2</v>
      </c>
      <c r="F32" s="73">
        <v>4.2</v>
      </c>
      <c r="G32" s="73">
        <v>4.2</v>
      </c>
      <c r="H32" s="73">
        <v>4.2</v>
      </c>
      <c r="I32" s="217"/>
      <c r="J32" s="99" t="s">
        <v>861</v>
      </c>
    </row>
    <row r="33" spans="1:10">
      <c r="A33" s="91" t="s">
        <v>640</v>
      </c>
      <c r="B33" s="88">
        <v>0</v>
      </c>
      <c r="C33" s="73">
        <v>0</v>
      </c>
      <c r="D33" s="73">
        <v>0</v>
      </c>
      <c r="E33" s="73">
        <v>0</v>
      </c>
      <c r="F33" s="73">
        <v>0</v>
      </c>
      <c r="G33" s="73">
        <v>0</v>
      </c>
      <c r="H33" s="73">
        <v>0</v>
      </c>
      <c r="I33" s="217"/>
      <c r="J33" s="9"/>
    </row>
    <row r="34" spans="1:10">
      <c r="A34" s="91" t="s">
        <v>611</v>
      </c>
      <c r="B34" s="88">
        <v>40</v>
      </c>
      <c r="C34" s="73">
        <v>40</v>
      </c>
      <c r="D34" s="73">
        <v>40</v>
      </c>
      <c r="E34" s="73">
        <v>40</v>
      </c>
      <c r="F34" s="73">
        <v>40</v>
      </c>
      <c r="G34" s="73">
        <v>40</v>
      </c>
      <c r="H34" s="73">
        <v>40</v>
      </c>
      <c r="I34" s="217"/>
      <c r="J34" s="9"/>
    </row>
    <row r="35" spans="1:10" ht="14.65" thickBot="1">
      <c r="A35" s="92" t="s">
        <v>789</v>
      </c>
      <c r="B35" s="89">
        <v>350</v>
      </c>
      <c r="C35" s="75">
        <v>350</v>
      </c>
      <c r="D35" s="75">
        <v>350</v>
      </c>
      <c r="E35" s="75">
        <v>350</v>
      </c>
      <c r="F35" s="75">
        <v>350</v>
      </c>
      <c r="G35" s="75">
        <v>350</v>
      </c>
      <c r="H35" s="75">
        <v>350</v>
      </c>
      <c r="I35" s="218"/>
      <c r="J35" s="13"/>
    </row>
    <row r="36" spans="1:10" ht="14.65" thickBot="1">
      <c r="B36" s="35"/>
      <c r="C36" s="35"/>
      <c r="D36" s="35"/>
      <c r="E36" s="35"/>
      <c r="F36" s="35"/>
      <c r="G36" s="35"/>
      <c r="H36" s="35"/>
      <c r="I36" s="96"/>
    </row>
    <row r="37" spans="1:10" ht="14.65" thickBot="1">
      <c r="A37" s="114" t="s">
        <v>862</v>
      </c>
      <c r="B37" s="86">
        <v>2020</v>
      </c>
      <c r="C37" s="80">
        <v>2025</v>
      </c>
      <c r="D37" s="80">
        <v>2030</v>
      </c>
      <c r="E37" s="80">
        <v>2035</v>
      </c>
      <c r="F37" s="80">
        <v>2040</v>
      </c>
      <c r="G37" s="80">
        <v>2045</v>
      </c>
      <c r="H37" s="80">
        <v>2050</v>
      </c>
      <c r="I37" s="81" t="s">
        <v>567</v>
      </c>
      <c r="J37" s="82" t="s">
        <v>568</v>
      </c>
    </row>
    <row r="38" spans="1:10" ht="44.45" customHeight="1">
      <c r="A38" s="90" t="s">
        <v>853</v>
      </c>
      <c r="B38" s="87" t="s">
        <v>651</v>
      </c>
      <c r="C38" s="78">
        <v>408.11200000000002</v>
      </c>
      <c r="D38" s="78">
        <v>408.11200000000002</v>
      </c>
      <c r="E38" s="78">
        <v>408.11200000000002</v>
      </c>
      <c r="F38" s="78">
        <v>408.11200000000002</v>
      </c>
      <c r="G38" s="78">
        <v>408.11200000000002</v>
      </c>
      <c r="H38" s="78">
        <v>408.11200000000002</v>
      </c>
      <c r="I38" s="93" t="s">
        <v>863</v>
      </c>
      <c r="J38" s="98" t="s">
        <v>864</v>
      </c>
    </row>
    <row r="39" spans="1:10" ht="13.9" customHeight="1">
      <c r="A39" s="91" t="s">
        <v>844</v>
      </c>
      <c r="B39" s="88" t="s">
        <v>651</v>
      </c>
      <c r="C39" s="73" t="s">
        <v>865</v>
      </c>
      <c r="D39" s="73" t="s">
        <v>865</v>
      </c>
      <c r="E39" s="73" t="s">
        <v>865</v>
      </c>
      <c r="F39" s="73" t="s">
        <v>865</v>
      </c>
      <c r="G39" s="73" t="s">
        <v>865</v>
      </c>
      <c r="H39" s="73" t="s">
        <v>865</v>
      </c>
      <c r="I39" s="94" t="s">
        <v>860</v>
      </c>
      <c r="J39" s="9"/>
    </row>
    <row r="40" spans="1:10">
      <c r="A40" s="91" t="s">
        <v>629</v>
      </c>
      <c r="B40" s="88" t="s">
        <v>651</v>
      </c>
      <c r="C40" s="73">
        <v>0</v>
      </c>
      <c r="D40" s="73">
        <v>0</v>
      </c>
      <c r="E40" s="73">
        <v>0</v>
      </c>
      <c r="F40" s="73">
        <v>0</v>
      </c>
      <c r="G40" s="73">
        <v>0</v>
      </c>
      <c r="H40" s="73">
        <v>0</v>
      </c>
      <c r="I40" s="97"/>
      <c r="J40" s="9"/>
    </row>
    <row r="41" spans="1:10">
      <c r="A41" s="91" t="s">
        <v>846</v>
      </c>
      <c r="B41" s="88" t="s">
        <v>651</v>
      </c>
      <c r="C41" s="73">
        <v>0</v>
      </c>
      <c r="D41" s="73">
        <v>0</v>
      </c>
      <c r="E41" s="73">
        <v>0</v>
      </c>
      <c r="F41" s="73">
        <v>0</v>
      </c>
      <c r="G41" s="73">
        <v>0</v>
      </c>
      <c r="H41" s="73">
        <v>0</v>
      </c>
      <c r="I41" s="97"/>
      <c r="J41" s="9"/>
    </row>
    <row r="42" spans="1:10">
      <c r="A42" s="91" t="s">
        <v>847</v>
      </c>
      <c r="B42" s="88" t="s">
        <v>651</v>
      </c>
      <c r="C42" s="73" t="s">
        <v>866</v>
      </c>
      <c r="D42" s="73" t="s">
        <v>651</v>
      </c>
      <c r="E42" s="73" t="s">
        <v>651</v>
      </c>
      <c r="F42" s="73" t="s">
        <v>651</v>
      </c>
      <c r="G42" s="73" t="s">
        <v>651</v>
      </c>
      <c r="H42" s="73" t="s">
        <v>651</v>
      </c>
      <c r="I42" s="97"/>
      <c r="J42" s="9"/>
    </row>
    <row r="43" spans="1:10">
      <c r="A43" s="91" t="s">
        <v>848</v>
      </c>
      <c r="B43" s="88" t="s">
        <v>651</v>
      </c>
      <c r="C43" s="73" t="s">
        <v>651</v>
      </c>
      <c r="D43" s="73" t="s">
        <v>651</v>
      </c>
      <c r="E43" s="73" t="s">
        <v>651</v>
      </c>
      <c r="F43" s="73" t="s">
        <v>651</v>
      </c>
      <c r="G43" s="73" t="s">
        <v>651</v>
      </c>
      <c r="H43" s="73" t="s">
        <v>651</v>
      </c>
      <c r="I43" s="97"/>
      <c r="J43" s="9" t="s">
        <v>867</v>
      </c>
    </row>
    <row r="44" spans="1:10" ht="45" customHeight="1">
      <c r="A44" s="91" t="s">
        <v>850</v>
      </c>
      <c r="B44" s="88" t="s">
        <v>651</v>
      </c>
      <c r="C44" s="73">
        <v>100</v>
      </c>
      <c r="D44" s="73">
        <v>100</v>
      </c>
      <c r="E44" s="73">
        <v>100</v>
      </c>
      <c r="F44" s="73">
        <v>100</v>
      </c>
      <c r="G44" s="73">
        <v>100</v>
      </c>
      <c r="H44" s="73">
        <v>100</v>
      </c>
      <c r="I44" s="94" t="s">
        <v>868</v>
      </c>
      <c r="J44" s="102" t="s">
        <v>869</v>
      </c>
    </row>
    <row r="45" spans="1:10">
      <c r="A45" s="91" t="s">
        <v>640</v>
      </c>
      <c r="B45" s="88" t="s">
        <v>651</v>
      </c>
      <c r="C45" s="73">
        <v>0</v>
      </c>
      <c r="D45" s="73">
        <v>0</v>
      </c>
      <c r="E45" s="73">
        <v>0</v>
      </c>
      <c r="F45" s="73">
        <v>0</v>
      </c>
      <c r="G45" s="73">
        <v>0</v>
      </c>
      <c r="H45" s="73">
        <v>0</v>
      </c>
      <c r="I45" s="97"/>
      <c r="J45" s="9"/>
    </row>
    <row r="46" spans="1:10" ht="15.6" customHeight="1">
      <c r="A46" s="91" t="s">
        <v>611</v>
      </c>
      <c r="B46" s="88" t="s">
        <v>651</v>
      </c>
      <c r="C46" s="73">
        <v>30</v>
      </c>
      <c r="D46" s="73">
        <v>30</v>
      </c>
      <c r="E46" s="73">
        <v>30</v>
      </c>
      <c r="F46" s="73">
        <v>30</v>
      </c>
      <c r="G46" s="73">
        <v>30</v>
      </c>
      <c r="H46" s="73">
        <v>30</v>
      </c>
      <c r="I46" s="94" t="s">
        <v>860</v>
      </c>
      <c r="J46" s="9" t="s">
        <v>692</v>
      </c>
    </row>
    <row r="47" spans="1:10" ht="14.65" thickBot="1">
      <c r="A47" s="92" t="s">
        <v>789</v>
      </c>
      <c r="B47" s="89" t="s">
        <v>651</v>
      </c>
      <c r="C47" s="75">
        <v>700</v>
      </c>
      <c r="D47" s="75">
        <v>700</v>
      </c>
      <c r="E47" s="75">
        <v>700</v>
      </c>
      <c r="F47" s="75">
        <v>700</v>
      </c>
      <c r="G47" s="75">
        <v>700</v>
      </c>
      <c r="H47" s="75">
        <v>700</v>
      </c>
      <c r="I47" s="100"/>
      <c r="J47" s="13"/>
    </row>
    <row r="48" spans="1:10" ht="14.65" thickBot="1">
      <c r="B48" s="35"/>
      <c r="C48" s="35"/>
      <c r="D48" s="35"/>
      <c r="E48" s="35"/>
      <c r="F48" s="35"/>
      <c r="G48" s="35"/>
      <c r="H48" s="35"/>
      <c r="I48" s="96"/>
    </row>
    <row r="49" spans="1:10" ht="14.65" thickBot="1">
      <c r="A49" s="114" t="s">
        <v>870</v>
      </c>
      <c r="B49" s="86">
        <v>2020</v>
      </c>
      <c r="C49" s="80">
        <v>2025</v>
      </c>
      <c r="D49" s="80">
        <v>2030</v>
      </c>
      <c r="E49" s="80">
        <v>2035</v>
      </c>
      <c r="F49" s="80">
        <v>2040</v>
      </c>
      <c r="G49" s="80">
        <v>2045</v>
      </c>
      <c r="H49" s="80">
        <v>2050</v>
      </c>
      <c r="I49" s="81" t="s">
        <v>567</v>
      </c>
      <c r="J49" s="82" t="s">
        <v>568</v>
      </c>
    </row>
    <row r="50" spans="1:10">
      <c r="A50" s="90" t="s">
        <v>853</v>
      </c>
      <c r="B50" s="87">
        <v>25</v>
      </c>
      <c r="C50" s="78">
        <v>25</v>
      </c>
      <c r="D50" s="78">
        <v>25</v>
      </c>
      <c r="E50" s="78">
        <v>25</v>
      </c>
      <c r="F50" s="78">
        <v>25</v>
      </c>
      <c r="G50" s="78">
        <v>25</v>
      </c>
      <c r="H50" s="78">
        <v>25</v>
      </c>
      <c r="I50" s="210" t="s">
        <v>854</v>
      </c>
      <c r="J50" s="83"/>
    </row>
    <row r="51" spans="1:10">
      <c r="A51" s="91" t="s">
        <v>844</v>
      </c>
      <c r="B51" s="88" t="s">
        <v>871</v>
      </c>
      <c r="C51" s="73" t="s">
        <v>871</v>
      </c>
      <c r="D51" s="73" t="s">
        <v>871</v>
      </c>
      <c r="E51" s="73" t="s">
        <v>871</v>
      </c>
      <c r="F51" s="73" t="s">
        <v>871</v>
      </c>
      <c r="G51" s="73" t="s">
        <v>871</v>
      </c>
      <c r="H51" s="73" t="s">
        <v>871</v>
      </c>
      <c r="I51" s="217"/>
      <c r="J51" s="9"/>
    </row>
    <row r="52" spans="1:10">
      <c r="A52" s="91" t="s">
        <v>629</v>
      </c>
      <c r="B52" s="88">
        <v>0</v>
      </c>
      <c r="C52" s="73">
        <v>0</v>
      </c>
      <c r="D52" s="73">
        <v>0</v>
      </c>
      <c r="E52" s="73">
        <v>0</v>
      </c>
      <c r="F52" s="73">
        <v>0</v>
      </c>
      <c r="G52" s="73">
        <v>0</v>
      </c>
      <c r="H52" s="73">
        <v>0</v>
      </c>
      <c r="I52" s="217"/>
      <c r="J52" s="9"/>
    </row>
    <row r="53" spans="1:10">
      <c r="A53" s="91" t="s">
        <v>846</v>
      </c>
      <c r="B53" s="88" t="s">
        <v>872</v>
      </c>
      <c r="C53" s="73" t="s">
        <v>872</v>
      </c>
      <c r="D53" s="73" t="s">
        <v>872</v>
      </c>
      <c r="E53" s="73" t="s">
        <v>872</v>
      </c>
      <c r="F53" s="73" t="s">
        <v>872</v>
      </c>
      <c r="G53" s="73" t="s">
        <v>872</v>
      </c>
      <c r="H53" s="73" t="s">
        <v>872</v>
      </c>
      <c r="I53" s="217"/>
      <c r="J53" s="9"/>
    </row>
    <row r="54" spans="1:10">
      <c r="A54" s="91" t="s">
        <v>847</v>
      </c>
      <c r="B54" s="88">
        <v>3000000</v>
      </c>
      <c r="C54" s="73">
        <v>3000000</v>
      </c>
      <c r="D54" s="73">
        <v>3000000</v>
      </c>
      <c r="E54" s="73">
        <v>3000000</v>
      </c>
      <c r="F54" s="73">
        <v>3000000</v>
      </c>
      <c r="G54" s="73">
        <v>3000000</v>
      </c>
      <c r="H54" s="73">
        <v>3000000</v>
      </c>
      <c r="I54" s="217"/>
      <c r="J54" s="9"/>
    </row>
    <row r="55" spans="1:10" ht="14.45" customHeight="1">
      <c r="A55" s="91" t="s">
        <v>848</v>
      </c>
      <c r="B55" s="88">
        <v>52</v>
      </c>
      <c r="C55" s="73">
        <v>52</v>
      </c>
      <c r="D55" s="73">
        <v>52</v>
      </c>
      <c r="E55" s="73">
        <v>52</v>
      </c>
      <c r="F55" s="73">
        <v>52</v>
      </c>
      <c r="G55" s="73">
        <v>52</v>
      </c>
      <c r="H55" s="73">
        <v>52</v>
      </c>
      <c r="I55" s="97" t="s">
        <v>873</v>
      </c>
      <c r="J55" s="9"/>
    </row>
    <row r="56" spans="1:10" ht="30" customHeight="1">
      <c r="A56" s="91" t="s">
        <v>850</v>
      </c>
      <c r="B56" s="88">
        <v>4.2</v>
      </c>
      <c r="C56" s="73">
        <v>4.2</v>
      </c>
      <c r="D56" s="73">
        <v>4.2</v>
      </c>
      <c r="E56" s="73">
        <v>4.2</v>
      </c>
      <c r="F56" s="73">
        <v>4.2</v>
      </c>
      <c r="G56" s="73">
        <v>4.2</v>
      </c>
      <c r="H56" s="73">
        <v>4.2</v>
      </c>
      <c r="I56" s="94"/>
      <c r="J56" s="99" t="s">
        <v>861</v>
      </c>
    </row>
    <row r="57" spans="1:10">
      <c r="A57" s="91" t="s">
        <v>640</v>
      </c>
      <c r="B57" s="88">
        <v>0</v>
      </c>
      <c r="C57" s="73">
        <v>0</v>
      </c>
      <c r="D57" s="73">
        <v>0</v>
      </c>
      <c r="E57" s="73">
        <v>0</v>
      </c>
      <c r="F57" s="73">
        <v>0</v>
      </c>
      <c r="G57" s="73">
        <v>0</v>
      </c>
      <c r="H57" s="73">
        <v>0</v>
      </c>
      <c r="I57" s="94"/>
      <c r="J57" s="9"/>
    </row>
    <row r="58" spans="1:10">
      <c r="A58" s="91" t="s">
        <v>611</v>
      </c>
      <c r="B58" s="88">
        <v>20</v>
      </c>
      <c r="C58" s="73">
        <v>20</v>
      </c>
      <c r="D58" s="73">
        <v>20</v>
      </c>
      <c r="E58" s="73">
        <v>20</v>
      </c>
      <c r="F58" s="73">
        <v>20</v>
      </c>
      <c r="G58" s="73">
        <v>20</v>
      </c>
      <c r="H58" s="73">
        <v>20</v>
      </c>
      <c r="I58" s="217" t="s">
        <v>854</v>
      </c>
      <c r="J58" s="9"/>
    </row>
    <row r="59" spans="1:10" ht="14.65" thickBot="1">
      <c r="A59" s="92" t="s">
        <v>789</v>
      </c>
      <c r="B59" s="89" t="s">
        <v>44</v>
      </c>
      <c r="C59" s="75" t="s">
        <v>44</v>
      </c>
      <c r="D59" s="75" t="s">
        <v>44</v>
      </c>
      <c r="E59" s="75" t="s">
        <v>44</v>
      </c>
      <c r="F59" s="75" t="s">
        <v>44</v>
      </c>
      <c r="G59" s="75" t="s">
        <v>44</v>
      </c>
      <c r="H59" s="75" t="s">
        <v>44</v>
      </c>
      <c r="I59" s="218"/>
      <c r="J59" s="13"/>
    </row>
    <row r="60" spans="1:10" ht="14.65" thickBot="1">
      <c r="B60" s="35"/>
      <c r="C60" s="35"/>
      <c r="D60" s="35"/>
      <c r="E60" s="35"/>
      <c r="F60" s="35"/>
      <c r="G60" s="35"/>
      <c r="H60" s="35"/>
      <c r="I60" s="96"/>
    </row>
    <row r="61" spans="1:10" ht="14.65" thickBot="1">
      <c r="A61" s="114" t="s">
        <v>874</v>
      </c>
      <c r="B61" s="86">
        <v>2020</v>
      </c>
      <c r="C61" s="80">
        <v>2025</v>
      </c>
      <c r="D61" s="80">
        <v>2030</v>
      </c>
      <c r="E61" s="80">
        <v>2035</v>
      </c>
      <c r="F61" s="80">
        <v>2040</v>
      </c>
      <c r="G61" s="80">
        <v>2045</v>
      </c>
      <c r="H61" s="80">
        <v>2050</v>
      </c>
      <c r="I61" s="81" t="s">
        <v>567</v>
      </c>
      <c r="J61" s="82" t="s">
        <v>568</v>
      </c>
    </row>
    <row r="62" spans="1:10" ht="71.25">
      <c r="A62" s="90" t="s">
        <v>843</v>
      </c>
      <c r="B62" s="87">
        <v>10.8855</v>
      </c>
      <c r="C62" s="78">
        <v>10.7163</v>
      </c>
      <c r="D62" s="78">
        <v>10.5471</v>
      </c>
      <c r="E62" s="78">
        <v>10.4907</v>
      </c>
      <c r="F62" s="78">
        <v>10.4343</v>
      </c>
      <c r="G62" s="78">
        <v>10.391999999999999</v>
      </c>
      <c r="H62" s="78">
        <v>10.3497</v>
      </c>
      <c r="I62" s="215" t="s">
        <v>570</v>
      </c>
      <c r="J62" s="98" t="s">
        <v>875</v>
      </c>
    </row>
    <row r="63" spans="1:10">
      <c r="A63" s="91" t="s">
        <v>844</v>
      </c>
      <c r="B63" s="88" t="s">
        <v>876</v>
      </c>
      <c r="C63" s="73" t="s">
        <v>877</v>
      </c>
      <c r="D63" s="73" t="s">
        <v>878</v>
      </c>
      <c r="E63" s="73" t="s">
        <v>879</v>
      </c>
      <c r="F63" s="73" t="s">
        <v>880</v>
      </c>
      <c r="G63" s="73" t="s">
        <v>881</v>
      </c>
      <c r="H63" s="73" t="s">
        <v>882</v>
      </c>
      <c r="I63" s="216"/>
      <c r="J63" s="9"/>
    </row>
    <row r="64" spans="1:10">
      <c r="A64" s="91" t="s">
        <v>629</v>
      </c>
      <c r="B64" s="88">
        <v>6.6670000000000002E-3</v>
      </c>
      <c r="C64" s="73">
        <v>6.6670000000000002E-3</v>
      </c>
      <c r="D64" s="73">
        <v>6.6670000000000002E-3</v>
      </c>
      <c r="E64" s="73">
        <v>6.6670000000000002E-3</v>
      </c>
      <c r="F64" s="73">
        <v>6.6670000000000002E-3</v>
      </c>
      <c r="G64" s="73">
        <v>6.6670000000000002E-3</v>
      </c>
      <c r="H64" s="73">
        <v>6.6670000000000002E-3</v>
      </c>
      <c r="I64" s="216"/>
      <c r="J64" s="9"/>
    </row>
    <row r="65" spans="1:10">
      <c r="A65" s="91" t="s">
        <v>846</v>
      </c>
      <c r="B65" s="88">
        <v>0</v>
      </c>
      <c r="C65" s="73">
        <v>0</v>
      </c>
      <c r="D65" s="73">
        <v>0</v>
      </c>
      <c r="E65" s="73">
        <v>0</v>
      </c>
      <c r="F65" s="73">
        <v>0</v>
      </c>
      <c r="G65" s="73">
        <v>0</v>
      </c>
      <c r="H65" s="73">
        <v>0</v>
      </c>
      <c r="I65" s="216"/>
      <c r="J65" s="9"/>
    </row>
    <row r="66" spans="1:10">
      <c r="A66" s="91" t="s">
        <v>847</v>
      </c>
      <c r="B66" s="88">
        <v>4000000</v>
      </c>
      <c r="C66" s="73">
        <v>4000000</v>
      </c>
      <c r="D66" s="73">
        <v>4000000</v>
      </c>
      <c r="E66" s="73">
        <v>4000000</v>
      </c>
      <c r="F66" s="73">
        <v>4000000</v>
      </c>
      <c r="G66" s="73">
        <v>4000000</v>
      </c>
      <c r="H66" s="73">
        <v>4000000</v>
      </c>
      <c r="I66" s="216"/>
      <c r="J66" s="9"/>
    </row>
    <row r="67" spans="1:10" ht="15" customHeight="1">
      <c r="A67" s="91" t="s">
        <v>848</v>
      </c>
      <c r="B67" s="88">
        <v>9</v>
      </c>
      <c r="C67" s="73">
        <v>9</v>
      </c>
      <c r="D67" s="73">
        <v>9</v>
      </c>
      <c r="E67" s="73">
        <v>9</v>
      </c>
      <c r="F67" s="73">
        <v>9</v>
      </c>
      <c r="G67" s="73">
        <v>9</v>
      </c>
      <c r="H67" s="73">
        <v>9</v>
      </c>
      <c r="I67" s="97" t="s">
        <v>873</v>
      </c>
      <c r="J67" s="9"/>
    </row>
    <row r="68" spans="1:10">
      <c r="A68" s="91" t="s">
        <v>850</v>
      </c>
      <c r="B68" s="88">
        <v>0.33329999999999999</v>
      </c>
      <c r="C68" s="73">
        <v>0.33329999999999999</v>
      </c>
      <c r="D68" s="73">
        <v>0.33329999999999999</v>
      </c>
      <c r="E68" s="73">
        <v>0.33329999999999999</v>
      </c>
      <c r="F68" s="73">
        <v>0.33329999999999999</v>
      </c>
      <c r="G68" s="73">
        <v>0.33329999999999999</v>
      </c>
      <c r="H68" s="73">
        <v>0.33329999999999999</v>
      </c>
      <c r="I68" s="217" t="s">
        <v>570</v>
      </c>
      <c r="J68" s="9"/>
    </row>
    <row r="69" spans="1:10">
      <c r="A69" s="91" t="s">
        <v>640</v>
      </c>
      <c r="B69" s="88">
        <v>30</v>
      </c>
      <c r="C69" s="73">
        <v>30</v>
      </c>
      <c r="D69" s="73">
        <v>30</v>
      </c>
      <c r="E69" s="73">
        <v>30</v>
      </c>
      <c r="F69" s="73">
        <v>30</v>
      </c>
      <c r="G69" s="73">
        <v>30</v>
      </c>
      <c r="H69" s="73">
        <v>30</v>
      </c>
      <c r="I69" s="217"/>
      <c r="J69" s="9"/>
    </row>
    <row r="70" spans="1:10">
      <c r="A70" s="91" t="s">
        <v>611</v>
      </c>
      <c r="B70" s="88">
        <v>30</v>
      </c>
      <c r="C70" s="73">
        <v>30</v>
      </c>
      <c r="D70" s="73">
        <v>30</v>
      </c>
      <c r="E70" s="73">
        <v>30</v>
      </c>
      <c r="F70" s="73">
        <v>30</v>
      </c>
      <c r="G70" s="73">
        <v>30</v>
      </c>
      <c r="H70" s="73">
        <v>30</v>
      </c>
      <c r="I70" s="217"/>
      <c r="J70" s="9"/>
    </row>
    <row r="71" spans="1:10" ht="14.65" thickBot="1">
      <c r="A71" s="92" t="s">
        <v>789</v>
      </c>
      <c r="B71" s="89">
        <v>200</v>
      </c>
      <c r="C71" s="75">
        <v>200</v>
      </c>
      <c r="D71" s="75">
        <v>200</v>
      </c>
      <c r="E71" s="75">
        <v>200</v>
      </c>
      <c r="F71" s="75">
        <v>200</v>
      </c>
      <c r="G71" s="75">
        <v>200</v>
      </c>
      <c r="H71" s="75">
        <v>200</v>
      </c>
      <c r="I71" s="218"/>
      <c r="J71" s="13"/>
    </row>
    <row r="72" spans="1:10" ht="14.65" thickBot="1">
      <c r="B72" s="35"/>
      <c r="C72" s="35"/>
      <c r="D72" s="35"/>
      <c r="E72" s="35"/>
      <c r="F72" s="35"/>
      <c r="G72" s="35"/>
      <c r="H72" s="35"/>
      <c r="I72" s="96"/>
    </row>
    <row r="73" spans="1:10" ht="14.65" thickBot="1">
      <c r="A73" s="114" t="s">
        <v>883</v>
      </c>
      <c r="B73" s="86">
        <v>2020</v>
      </c>
      <c r="C73" s="80">
        <v>2025</v>
      </c>
      <c r="D73" s="80">
        <v>2030</v>
      </c>
      <c r="E73" s="80">
        <v>2035</v>
      </c>
      <c r="F73" s="80">
        <v>2040</v>
      </c>
      <c r="G73" s="80">
        <v>2045</v>
      </c>
      <c r="H73" s="80">
        <v>2050</v>
      </c>
      <c r="I73" s="81" t="s">
        <v>567</v>
      </c>
      <c r="J73" s="82" t="s">
        <v>568</v>
      </c>
    </row>
    <row r="74" spans="1:10" ht="42.75">
      <c r="A74" s="90" t="s">
        <v>843</v>
      </c>
      <c r="B74" s="87">
        <v>306.26100000000002</v>
      </c>
      <c r="C74" s="78">
        <v>306.26100000000002</v>
      </c>
      <c r="D74" s="78">
        <v>306.26100000000002</v>
      </c>
      <c r="E74" s="78">
        <v>306.26100000000002</v>
      </c>
      <c r="F74" s="78">
        <v>306.26100000000002</v>
      </c>
      <c r="G74" s="78">
        <v>306.26100000000002</v>
      </c>
      <c r="H74" s="78">
        <v>306.26100000000002</v>
      </c>
      <c r="I74" s="215" t="s">
        <v>570</v>
      </c>
      <c r="J74" s="98" t="s">
        <v>884</v>
      </c>
    </row>
    <row r="75" spans="1:10">
      <c r="A75" s="91" t="s">
        <v>844</v>
      </c>
      <c r="B75" s="88" t="s">
        <v>885</v>
      </c>
      <c r="C75" s="73" t="s">
        <v>885</v>
      </c>
      <c r="D75" s="73" t="s">
        <v>885</v>
      </c>
      <c r="E75" s="73" t="s">
        <v>885</v>
      </c>
      <c r="F75" s="73" t="s">
        <v>885</v>
      </c>
      <c r="G75" s="73" t="s">
        <v>885</v>
      </c>
      <c r="H75" s="73" t="s">
        <v>885</v>
      </c>
      <c r="I75" s="216"/>
      <c r="J75" s="9"/>
    </row>
    <row r="76" spans="1:10">
      <c r="A76" s="91" t="s">
        <v>629</v>
      </c>
      <c r="B76" s="88">
        <v>3.333E-3</v>
      </c>
      <c r="C76" s="73">
        <v>3.333E-3</v>
      </c>
      <c r="D76" s="73">
        <v>3.333E-3</v>
      </c>
      <c r="E76" s="73">
        <v>3.333E-3</v>
      </c>
      <c r="F76" s="73">
        <v>3.333E-3</v>
      </c>
      <c r="G76" s="73">
        <v>3.333E-3</v>
      </c>
      <c r="H76" s="73">
        <v>3.333E-3</v>
      </c>
      <c r="I76" s="216"/>
      <c r="J76" s="9"/>
    </row>
    <row r="77" spans="1:10">
      <c r="A77" s="91" t="s">
        <v>846</v>
      </c>
      <c r="B77" s="88">
        <v>0</v>
      </c>
      <c r="C77" s="73">
        <v>0</v>
      </c>
      <c r="D77" s="73">
        <v>0</v>
      </c>
      <c r="E77" s="73">
        <v>0</v>
      </c>
      <c r="F77" s="73">
        <v>0</v>
      </c>
      <c r="G77" s="73">
        <v>0</v>
      </c>
      <c r="H77" s="73">
        <v>0</v>
      </c>
      <c r="I77" s="216"/>
      <c r="J77" s="9"/>
    </row>
    <row r="78" spans="1:10">
      <c r="A78" s="91" t="s">
        <v>847</v>
      </c>
      <c r="B78" s="88">
        <v>800000</v>
      </c>
      <c r="C78" s="73">
        <v>800000</v>
      </c>
      <c r="D78" s="73">
        <v>800000</v>
      </c>
      <c r="E78" s="73">
        <v>800000</v>
      </c>
      <c r="F78" s="73">
        <v>800000</v>
      </c>
      <c r="G78" s="73">
        <v>800000</v>
      </c>
      <c r="H78" s="73">
        <v>800000</v>
      </c>
      <c r="I78" s="216"/>
      <c r="J78" s="9"/>
    </row>
    <row r="79" spans="1:10" ht="30.6" customHeight="1">
      <c r="A79" s="91" t="s">
        <v>848</v>
      </c>
      <c r="B79" s="88">
        <v>100</v>
      </c>
      <c r="C79" s="73">
        <v>100</v>
      </c>
      <c r="D79" s="73">
        <v>100</v>
      </c>
      <c r="E79" s="73">
        <v>100</v>
      </c>
      <c r="F79" s="73">
        <v>100</v>
      </c>
      <c r="G79" s="73">
        <v>100</v>
      </c>
      <c r="H79" s="73">
        <v>100</v>
      </c>
      <c r="I79" s="97" t="s">
        <v>886</v>
      </c>
      <c r="J79" s="99" t="s">
        <v>887</v>
      </c>
    </row>
    <row r="80" spans="1:10">
      <c r="A80" s="91" t="s">
        <v>850</v>
      </c>
      <c r="B80" s="88">
        <v>16.7</v>
      </c>
      <c r="C80" s="73">
        <v>16.7</v>
      </c>
      <c r="D80" s="73">
        <v>16.7</v>
      </c>
      <c r="E80" s="73">
        <v>16.7</v>
      </c>
      <c r="F80" s="73">
        <v>16.7</v>
      </c>
      <c r="G80" s="73">
        <v>16.7</v>
      </c>
      <c r="H80" s="73">
        <v>16.7</v>
      </c>
      <c r="I80" s="217" t="s">
        <v>570</v>
      </c>
      <c r="J80" s="9"/>
    </row>
    <row r="81" spans="1:10">
      <c r="A81" s="91" t="s">
        <v>640</v>
      </c>
      <c r="B81" s="88">
        <v>0</v>
      </c>
      <c r="C81" s="73">
        <v>0</v>
      </c>
      <c r="D81" s="73">
        <v>0</v>
      </c>
      <c r="E81" s="73">
        <v>0</v>
      </c>
      <c r="F81" s="73">
        <v>0</v>
      </c>
      <c r="G81" s="73">
        <v>0</v>
      </c>
      <c r="H81" s="73">
        <v>0</v>
      </c>
      <c r="I81" s="217"/>
      <c r="J81" s="9"/>
    </row>
    <row r="82" spans="1:10">
      <c r="A82" s="91" t="s">
        <v>611</v>
      </c>
      <c r="B82" s="88">
        <v>30</v>
      </c>
      <c r="C82" s="73">
        <v>30</v>
      </c>
      <c r="D82" s="73">
        <v>30</v>
      </c>
      <c r="E82" s="73">
        <v>30</v>
      </c>
      <c r="F82" s="73">
        <v>30</v>
      </c>
      <c r="G82" s="73">
        <v>30</v>
      </c>
      <c r="H82" s="73">
        <v>30</v>
      </c>
      <c r="I82" s="217"/>
      <c r="J82" s="9"/>
    </row>
    <row r="83" spans="1:10" ht="14.65" thickBot="1">
      <c r="A83" s="92" t="s">
        <v>789</v>
      </c>
      <c r="B83" s="89">
        <v>200</v>
      </c>
      <c r="C83" s="75">
        <v>200</v>
      </c>
      <c r="D83" s="75">
        <v>200</v>
      </c>
      <c r="E83" s="75">
        <v>200</v>
      </c>
      <c r="F83" s="75">
        <v>200</v>
      </c>
      <c r="G83" s="75">
        <v>200</v>
      </c>
      <c r="H83" s="75">
        <v>200</v>
      </c>
      <c r="I83" s="218"/>
      <c r="J83" s="13"/>
    </row>
    <row r="84" spans="1:10" ht="14.65" thickBot="1">
      <c r="B84" s="35"/>
      <c r="C84" s="35"/>
      <c r="D84" s="35"/>
      <c r="E84" s="35"/>
      <c r="F84" s="35"/>
      <c r="G84" s="35"/>
      <c r="H84" s="35"/>
      <c r="I84" s="96"/>
    </row>
    <row r="85" spans="1:10" ht="14.65" thickBot="1">
      <c r="A85" s="114" t="s">
        <v>888</v>
      </c>
      <c r="B85" s="86">
        <v>2020</v>
      </c>
      <c r="C85" s="80">
        <v>2025</v>
      </c>
      <c r="D85" s="80">
        <v>2030</v>
      </c>
      <c r="E85" s="80">
        <v>2035</v>
      </c>
      <c r="F85" s="80">
        <v>2040</v>
      </c>
      <c r="G85" s="80">
        <v>2045</v>
      </c>
      <c r="H85" s="80">
        <v>2050</v>
      </c>
      <c r="I85" s="81" t="s">
        <v>567</v>
      </c>
      <c r="J85" s="82" t="s">
        <v>568</v>
      </c>
    </row>
    <row r="86" spans="1:10">
      <c r="A86" s="90" t="s">
        <v>889</v>
      </c>
      <c r="B86" s="87">
        <v>0.623</v>
      </c>
      <c r="C86" s="78">
        <v>0.623</v>
      </c>
      <c r="D86" s="78">
        <v>0.623</v>
      </c>
      <c r="E86" s="78">
        <v>0.623</v>
      </c>
      <c r="F86" s="78">
        <v>0.623</v>
      </c>
      <c r="G86" s="78">
        <v>0.623</v>
      </c>
      <c r="H86" s="78">
        <v>0.623</v>
      </c>
      <c r="I86" s="215" t="s">
        <v>570</v>
      </c>
      <c r="J86" s="83"/>
    </row>
    <row r="87" spans="1:10">
      <c r="A87" s="91" t="s">
        <v>890</v>
      </c>
      <c r="B87" s="88" t="s">
        <v>891</v>
      </c>
      <c r="C87" s="73" t="s">
        <v>891</v>
      </c>
      <c r="D87" s="73" t="s">
        <v>891</v>
      </c>
      <c r="E87" s="73" t="s">
        <v>891</v>
      </c>
      <c r="F87" s="73" t="s">
        <v>891</v>
      </c>
      <c r="G87" s="73" t="s">
        <v>891</v>
      </c>
      <c r="H87" s="73" t="s">
        <v>891</v>
      </c>
      <c r="I87" s="216"/>
      <c r="J87" s="9"/>
    </row>
    <row r="88" spans="1:10">
      <c r="A88" s="91" t="s">
        <v>655</v>
      </c>
      <c r="B88" s="88">
        <v>9.9999999999999995E-7</v>
      </c>
      <c r="C88" s="73">
        <v>9.9999999999999995E-7</v>
      </c>
      <c r="D88" s="73">
        <v>9.9999999999999995E-7</v>
      </c>
      <c r="E88" s="73">
        <v>9.9999999999999995E-7</v>
      </c>
      <c r="F88" s="73">
        <v>9.9999999999999995E-7</v>
      </c>
      <c r="G88" s="73">
        <v>9.9999999999999995E-7</v>
      </c>
      <c r="H88" s="73">
        <v>9.9999999999999995E-7</v>
      </c>
      <c r="I88" s="216"/>
      <c r="J88" s="9"/>
    </row>
    <row r="89" spans="1:10" ht="13.9" customHeight="1">
      <c r="A89" s="91" t="s">
        <v>892</v>
      </c>
      <c r="B89" s="88" t="s">
        <v>893</v>
      </c>
      <c r="C89" s="73" t="s">
        <v>893</v>
      </c>
      <c r="D89" s="73" t="s">
        <v>893</v>
      </c>
      <c r="E89" s="73" t="s">
        <v>893</v>
      </c>
      <c r="F89" s="73" t="s">
        <v>893</v>
      </c>
      <c r="G89" s="73" t="s">
        <v>893</v>
      </c>
      <c r="H89" s="73" t="s">
        <v>893</v>
      </c>
      <c r="I89" s="97" t="s">
        <v>731</v>
      </c>
      <c r="J89" s="101" t="s">
        <v>894</v>
      </c>
    </row>
    <row r="90" spans="1:10" ht="17.45" customHeight="1">
      <c r="A90" s="91" t="s">
        <v>895</v>
      </c>
      <c r="B90" s="88">
        <v>33000000</v>
      </c>
      <c r="C90" s="73">
        <v>33000000</v>
      </c>
      <c r="D90" s="73">
        <v>33000000</v>
      </c>
      <c r="E90" s="73">
        <v>33000000</v>
      </c>
      <c r="F90" s="73">
        <v>33000000</v>
      </c>
      <c r="G90" s="73">
        <v>33000000</v>
      </c>
      <c r="H90" s="73">
        <v>33000000</v>
      </c>
      <c r="I90" s="97" t="s">
        <v>570</v>
      </c>
      <c r="J90" s="9"/>
    </row>
    <row r="91" spans="1:10">
      <c r="A91" s="91" t="s">
        <v>848</v>
      </c>
      <c r="B91" s="88">
        <v>365</v>
      </c>
      <c r="C91" s="73">
        <v>365</v>
      </c>
      <c r="D91" s="73">
        <v>365</v>
      </c>
      <c r="E91" s="73">
        <v>365</v>
      </c>
      <c r="F91" s="73">
        <v>365</v>
      </c>
      <c r="G91" s="73">
        <v>365</v>
      </c>
      <c r="H91" s="73">
        <v>365</v>
      </c>
      <c r="I91" s="97"/>
      <c r="J91" s="9" t="s">
        <v>849</v>
      </c>
    </row>
    <row r="92" spans="1:10">
      <c r="A92" s="91" t="s">
        <v>850</v>
      </c>
      <c r="B92" s="88">
        <v>4.2</v>
      </c>
      <c r="C92" s="73">
        <v>4.2</v>
      </c>
      <c r="D92" s="73">
        <v>4.2</v>
      </c>
      <c r="E92" s="73">
        <v>4.2</v>
      </c>
      <c r="F92" s="73">
        <v>4.2</v>
      </c>
      <c r="G92" s="73">
        <v>4.2</v>
      </c>
      <c r="H92" s="73">
        <v>4.2</v>
      </c>
      <c r="I92" s="216" t="s">
        <v>570</v>
      </c>
      <c r="J92" s="9"/>
    </row>
    <row r="93" spans="1:10">
      <c r="A93" s="91" t="s">
        <v>611</v>
      </c>
      <c r="B93" s="88">
        <v>30</v>
      </c>
      <c r="C93" s="73">
        <v>30</v>
      </c>
      <c r="D93" s="73">
        <v>30</v>
      </c>
      <c r="E93" s="73">
        <v>30</v>
      </c>
      <c r="F93" s="73">
        <v>30</v>
      </c>
      <c r="G93" s="73">
        <v>30</v>
      </c>
      <c r="H93" s="73">
        <v>30</v>
      </c>
      <c r="I93" s="216"/>
      <c r="J93" s="9"/>
    </row>
    <row r="94" spans="1:10">
      <c r="A94" s="91" t="s">
        <v>789</v>
      </c>
      <c r="B94" s="88" t="s">
        <v>44</v>
      </c>
      <c r="C94" s="73" t="s">
        <v>44</v>
      </c>
      <c r="D94" s="73" t="s">
        <v>44</v>
      </c>
      <c r="E94" s="73" t="s">
        <v>44</v>
      </c>
      <c r="F94" s="73" t="s">
        <v>44</v>
      </c>
      <c r="G94" s="73" t="s">
        <v>44</v>
      </c>
      <c r="H94" s="73" t="s">
        <v>44</v>
      </c>
      <c r="I94" s="216"/>
      <c r="J94" s="9"/>
    </row>
    <row r="95" spans="1:10" ht="14.65" thickBot="1">
      <c r="A95" s="92" t="s">
        <v>659</v>
      </c>
      <c r="B95" s="89">
        <v>3.78E-2</v>
      </c>
      <c r="C95" s="75">
        <v>3.78E-2</v>
      </c>
      <c r="D95" s="75">
        <v>3.78E-2</v>
      </c>
      <c r="E95" s="75">
        <v>3.78E-2</v>
      </c>
      <c r="F95" s="75">
        <v>3.78E-2</v>
      </c>
      <c r="G95" s="75">
        <v>3.78E-2</v>
      </c>
      <c r="H95" s="75">
        <v>3.78E-2</v>
      </c>
      <c r="I95" s="220"/>
      <c r="J95" s="13"/>
    </row>
    <row r="96" spans="1:10" ht="14.65" thickBot="1">
      <c r="B96" s="35"/>
      <c r="C96" s="35"/>
      <c r="D96" s="35"/>
      <c r="E96" s="35"/>
      <c r="F96" s="35"/>
      <c r="G96" s="35"/>
      <c r="H96" s="35"/>
      <c r="I96" s="96"/>
    </row>
    <row r="97" spans="1:10" ht="14.65" thickBot="1">
      <c r="A97" s="114" t="s">
        <v>896</v>
      </c>
      <c r="B97" s="86">
        <v>2020</v>
      </c>
      <c r="C97" s="80">
        <v>2025</v>
      </c>
      <c r="D97" s="80">
        <v>2030</v>
      </c>
      <c r="E97" s="80">
        <v>2035</v>
      </c>
      <c r="F97" s="80">
        <v>2040</v>
      </c>
      <c r="G97" s="80">
        <v>2045</v>
      </c>
      <c r="H97" s="80">
        <v>2050</v>
      </c>
      <c r="I97" s="81" t="s">
        <v>567</v>
      </c>
      <c r="J97" s="82" t="s">
        <v>568</v>
      </c>
    </row>
    <row r="98" spans="1:10" ht="31.9" customHeight="1">
      <c r="A98" s="90" t="s">
        <v>897</v>
      </c>
      <c r="B98" s="87">
        <v>6.0319999999999999E-2</v>
      </c>
      <c r="C98" s="78">
        <v>6.0319999999999999E-2</v>
      </c>
      <c r="D98" s="78">
        <v>6.0319999999999999E-2</v>
      </c>
      <c r="E98" s="78">
        <v>6.0319999999999999E-2</v>
      </c>
      <c r="F98" s="78">
        <v>6.0319999999999999E-2</v>
      </c>
      <c r="G98" s="78">
        <v>6.0319999999999999E-2</v>
      </c>
      <c r="H98" s="78">
        <v>6.0319999999999999E-2</v>
      </c>
      <c r="I98" s="93" t="s">
        <v>898</v>
      </c>
      <c r="J98" s="98" t="s">
        <v>899</v>
      </c>
    </row>
    <row r="99" spans="1:10">
      <c r="A99" s="91" t="s">
        <v>900</v>
      </c>
      <c r="B99" s="88" t="s">
        <v>901</v>
      </c>
      <c r="C99" s="73" t="s">
        <v>901</v>
      </c>
      <c r="D99" s="73" t="s">
        <v>901</v>
      </c>
      <c r="E99" s="73" t="s">
        <v>901</v>
      </c>
      <c r="F99" s="73" t="s">
        <v>901</v>
      </c>
      <c r="G99" s="73" t="s">
        <v>901</v>
      </c>
      <c r="H99" s="73" t="s">
        <v>901</v>
      </c>
      <c r="I99" s="97"/>
      <c r="J99" s="9"/>
    </row>
    <row r="100" spans="1:10">
      <c r="A100" s="91" t="s">
        <v>668</v>
      </c>
      <c r="B100" s="88">
        <v>0</v>
      </c>
      <c r="C100" s="73">
        <v>0</v>
      </c>
      <c r="D100" s="73">
        <v>0</v>
      </c>
      <c r="E100" s="73">
        <v>0</v>
      </c>
      <c r="F100" s="73">
        <v>0</v>
      </c>
      <c r="G100" s="73">
        <v>0</v>
      </c>
      <c r="H100" s="73">
        <v>0</v>
      </c>
      <c r="I100" s="97"/>
      <c r="J100" s="9"/>
    </row>
    <row r="101" spans="1:10">
      <c r="A101" s="91" t="s">
        <v>902</v>
      </c>
      <c r="B101" s="88">
        <v>0</v>
      </c>
      <c r="C101" s="73">
        <v>0</v>
      </c>
      <c r="D101" s="73">
        <v>0</v>
      </c>
      <c r="E101" s="73">
        <v>0</v>
      </c>
      <c r="F101" s="73">
        <v>0</v>
      </c>
      <c r="G101" s="73">
        <v>0</v>
      </c>
      <c r="H101" s="73">
        <v>0</v>
      </c>
      <c r="I101" s="97"/>
      <c r="J101" s="9"/>
    </row>
    <row r="102" spans="1:10">
      <c r="A102" s="91" t="s">
        <v>903</v>
      </c>
      <c r="B102" s="88">
        <v>150000000</v>
      </c>
      <c r="C102" s="73">
        <v>150000000</v>
      </c>
      <c r="D102" s="73">
        <v>150000000</v>
      </c>
      <c r="E102" s="73">
        <v>150000000</v>
      </c>
      <c r="F102" s="73">
        <v>150000000</v>
      </c>
      <c r="G102" s="73">
        <v>150000000</v>
      </c>
      <c r="H102" s="73">
        <v>150000000</v>
      </c>
      <c r="I102" s="97"/>
      <c r="J102" s="9"/>
    </row>
    <row r="103" spans="1:10">
      <c r="A103" s="91" t="s">
        <v>848</v>
      </c>
      <c r="B103" s="88">
        <v>365</v>
      </c>
      <c r="C103" s="73">
        <v>365</v>
      </c>
      <c r="D103" s="73">
        <v>365</v>
      </c>
      <c r="E103" s="73">
        <v>365</v>
      </c>
      <c r="F103" s="73">
        <v>365</v>
      </c>
      <c r="G103" s="73">
        <v>365</v>
      </c>
      <c r="H103" s="73">
        <v>365</v>
      </c>
      <c r="I103" s="97"/>
      <c r="J103" s="9" t="s">
        <v>849</v>
      </c>
    </row>
    <row r="104" spans="1:10" ht="28.5">
      <c r="A104" s="91" t="s">
        <v>850</v>
      </c>
      <c r="B104" s="88">
        <v>4.2</v>
      </c>
      <c r="C104" s="73">
        <v>4.2</v>
      </c>
      <c r="D104" s="73">
        <v>4.2</v>
      </c>
      <c r="E104" s="73">
        <v>4.2</v>
      </c>
      <c r="F104" s="73">
        <v>4.2</v>
      </c>
      <c r="G104" s="73">
        <v>4.2</v>
      </c>
      <c r="H104" s="73">
        <v>4.2</v>
      </c>
      <c r="I104" s="97"/>
      <c r="J104" s="99" t="s">
        <v>861</v>
      </c>
    </row>
    <row r="105" spans="1:10">
      <c r="A105" s="91" t="s">
        <v>640</v>
      </c>
      <c r="B105" s="88">
        <v>0</v>
      </c>
      <c r="C105" s="73">
        <v>0</v>
      </c>
      <c r="D105" s="73">
        <v>0</v>
      </c>
      <c r="E105" s="73">
        <v>0</v>
      </c>
      <c r="F105" s="73">
        <v>0</v>
      </c>
      <c r="G105" s="73">
        <v>0</v>
      </c>
      <c r="H105" s="73">
        <v>0</v>
      </c>
      <c r="I105" s="97"/>
      <c r="J105" s="9"/>
    </row>
    <row r="106" spans="1:10">
      <c r="A106" s="91" t="s">
        <v>611</v>
      </c>
      <c r="B106" s="88">
        <v>30</v>
      </c>
      <c r="C106" s="73">
        <v>30</v>
      </c>
      <c r="D106" s="73">
        <v>30</v>
      </c>
      <c r="E106" s="73">
        <v>30</v>
      </c>
      <c r="F106" s="73">
        <v>30</v>
      </c>
      <c r="G106" s="73">
        <v>30</v>
      </c>
      <c r="H106" s="73">
        <v>30</v>
      </c>
      <c r="I106" s="97"/>
      <c r="J106" s="9" t="s">
        <v>904</v>
      </c>
    </row>
    <row r="107" spans="1:10" ht="14.65" thickBot="1">
      <c r="A107" s="92" t="s">
        <v>789</v>
      </c>
      <c r="B107" s="89" t="s">
        <v>44</v>
      </c>
      <c r="C107" s="75" t="s">
        <v>44</v>
      </c>
      <c r="D107" s="75" t="s">
        <v>44</v>
      </c>
      <c r="E107" s="75" t="s">
        <v>44</v>
      </c>
      <c r="F107" s="75" t="s">
        <v>44</v>
      </c>
      <c r="G107" s="75" t="s">
        <v>44</v>
      </c>
      <c r="H107" s="75" t="s">
        <v>44</v>
      </c>
      <c r="I107" s="100"/>
      <c r="J107" s="13"/>
    </row>
    <row r="108" spans="1:10" ht="14.65" thickBot="1"/>
    <row r="109" spans="1:10" ht="14.65" thickBot="1">
      <c r="A109" s="114" t="s">
        <v>905</v>
      </c>
      <c r="B109" s="86">
        <v>2020</v>
      </c>
      <c r="C109" s="80">
        <v>2025</v>
      </c>
      <c r="D109" s="80">
        <v>2030</v>
      </c>
      <c r="E109" s="80">
        <v>2035</v>
      </c>
      <c r="F109" s="80">
        <v>2040</v>
      </c>
      <c r="G109" s="80">
        <v>2045</v>
      </c>
      <c r="H109" s="80">
        <v>2050</v>
      </c>
      <c r="I109" s="81" t="s">
        <v>567</v>
      </c>
      <c r="J109" s="82" t="s">
        <v>568</v>
      </c>
    </row>
    <row r="110" spans="1:10">
      <c r="A110" s="90" t="s">
        <v>906</v>
      </c>
      <c r="B110" s="87">
        <v>0.69599999999999995</v>
      </c>
      <c r="C110" s="78">
        <v>0.69599999999999995</v>
      </c>
      <c r="D110" s="78">
        <v>0.69599999999999995</v>
      </c>
      <c r="E110" s="78">
        <v>0.69599999999999995</v>
      </c>
      <c r="F110" s="78">
        <v>0.69599999999999995</v>
      </c>
      <c r="G110" s="78">
        <v>0.69599999999999995</v>
      </c>
      <c r="H110" s="78">
        <v>0.69599999999999995</v>
      </c>
      <c r="I110" s="210" t="s">
        <v>628</v>
      </c>
      <c r="J110" s="98"/>
    </row>
    <row r="111" spans="1:10">
      <c r="A111" s="91" t="s">
        <v>907</v>
      </c>
      <c r="B111" s="88" t="s">
        <v>908</v>
      </c>
      <c r="C111" s="73" t="s">
        <v>908</v>
      </c>
      <c r="D111" s="73" t="s">
        <v>908</v>
      </c>
      <c r="E111" s="73" t="s">
        <v>908</v>
      </c>
      <c r="F111" s="73" t="s">
        <v>908</v>
      </c>
      <c r="G111" s="73" t="s">
        <v>908</v>
      </c>
      <c r="H111" s="73" t="s">
        <v>908</v>
      </c>
      <c r="I111" s="217"/>
      <c r="J111" s="9"/>
    </row>
    <row r="112" spans="1:10">
      <c r="A112" s="91" t="s">
        <v>689</v>
      </c>
      <c r="B112" s="88">
        <v>0</v>
      </c>
      <c r="C112" s="73">
        <v>0</v>
      </c>
      <c r="D112" s="73">
        <v>0</v>
      </c>
      <c r="E112" s="73">
        <v>0</v>
      </c>
      <c r="F112" s="73">
        <v>0</v>
      </c>
      <c r="G112" s="73">
        <v>0</v>
      </c>
      <c r="H112" s="73">
        <v>0</v>
      </c>
      <c r="I112" s="217"/>
      <c r="J112" s="9"/>
    </row>
    <row r="113" spans="1:10">
      <c r="A113" s="91" t="s">
        <v>909</v>
      </c>
      <c r="B113" s="88">
        <v>0</v>
      </c>
      <c r="C113" s="73">
        <v>0</v>
      </c>
      <c r="D113" s="73">
        <v>0</v>
      </c>
      <c r="E113" s="73">
        <v>0</v>
      </c>
      <c r="F113" s="73">
        <v>0</v>
      </c>
      <c r="G113" s="73">
        <v>0</v>
      </c>
      <c r="H113" s="73">
        <v>0</v>
      </c>
      <c r="I113" s="217"/>
      <c r="J113" s="9"/>
    </row>
    <row r="114" spans="1:10">
      <c r="A114" s="91" t="s">
        <v>910</v>
      </c>
      <c r="B114" s="88" t="s">
        <v>651</v>
      </c>
      <c r="C114" s="73" t="s">
        <v>651</v>
      </c>
      <c r="D114" s="73" t="s">
        <v>651</v>
      </c>
      <c r="E114" s="73" t="s">
        <v>651</v>
      </c>
      <c r="F114" s="73" t="s">
        <v>651</v>
      </c>
      <c r="G114" s="73" t="s">
        <v>651</v>
      </c>
      <c r="H114" s="73" t="s">
        <v>651</v>
      </c>
      <c r="I114" s="217"/>
      <c r="J114" s="9"/>
    </row>
    <row r="115" spans="1:10">
      <c r="A115" s="91" t="s">
        <v>848</v>
      </c>
      <c r="B115" s="88">
        <v>365</v>
      </c>
      <c r="C115" s="73">
        <v>365</v>
      </c>
      <c r="D115" s="73">
        <v>365</v>
      </c>
      <c r="E115" s="73">
        <v>365</v>
      </c>
      <c r="F115" s="73">
        <v>365</v>
      </c>
      <c r="G115" s="73">
        <v>365</v>
      </c>
      <c r="H115" s="73">
        <v>365</v>
      </c>
      <c r="I115" s="217"/>
      <c r="J115" s="9" t="s">
        <v>849</v>
      </c>
    </row>
    <row r="116" spans="1:10" ht="28.5">
      <c r="A116" s="91" t="s">
        <v>850</v>
      </c>
      <c r="B116" s="88">
        <v>4.2</v>
      </c>
      <c r="C116" s="73">
        <v>4.2</v>
      </c>
      <c r="D116" s="73">
        <v>4.2</v>
      </c>
      <c r="E116" s="73">
        <v>4.2</v>
      </c>
      <c r="F116" s="73">
        <v>4.2</v>
      </c>
      <c r="G116" s="73">
        <v>4.2</v>
      </c>
      <c r="H116" s="73">
        <v>4.2</v>
      </c>
      <c r="I116" s="217"/>
      <c r="J116" s="99" t="s">
        <v>861</v>
      </c>
    </row>
    <row r="117" spans="1:10">
      <c r="A117" s="91" t="s">
        <v>640</v>
      </c>
      <c r="B117" s="88">
        <v>0</v>
      </c>
      <c r="C117" s="73">
        <v>0</v>
      </c>
      <c r="D117" s="73">
        <v>0</v>
      </c>
      <c r="E117" s="73">
        <v>0</v>
      </c>
      <c r="F117" s="73">
        <v>0</v>
      </c>
      <c r="G117" s="73">
        <v>0</v>
      </c>
      <c r="H117" s="73">
        <v>0</v>
      </c>
      <c r="I117" s="217"/>
      <c r="J117" s="9"/>
    </row>
    <row r="118" spans="1:10">
      <c r="A118" s="91" t="s">
        <v>611</v>
      </c>
      <c r="B118" s="88">
        <v>50</v>
      </c>
      <c r="C118" s="73">
        <v>50</v>
      </c>
      <c r="D118" s="73">
        <v>50</v>
      </c>
      <c r="E118" s="73">
        <v>50</v>
      </c>
      <c r="F118" s="73">
        <v>50</v>
      </c>
      <c r="G118" s="73">
        <v>50</v>
      </c>
      <c r="H118" s="73">
        <v>50</v>
      </c>
      <c r="I118" s="217"/>
      <c r="J118" s="9"/>
    </row>
    <row r="119" spans="1:10" ht="14.65" thickBot="1">
      <c r="A119" s="92" t="s">
        <v>789</v>
      </c>
      <c r="B119" s="89" t="s">
        <v>44</v>
      </c>
      <c r="C119" s="75" t="s">
        <v>44</v>
      </c>
      <c r="D119" s="75" t="s">
        <v>44</v>
      </c>
      <c r="E119" s="75" t="s">
        <v>44</v>
      </c>
      <c r="F119" s="75" t="s">
        <v>44</v>
      </c>
      <c r="G119" s="75" t="s">
        <v>44</v>
      </c>
      <c r="H119" s="75" t="s">
        <v>44</v>
      </c>
      <c r="I119" s="218"/>
      <c r="J119" s="13"/>
    </row>
  </sheetData>
  <mergeCells count="12">
    <mergeCell ref="I110:I119"/>
    <mergeCell ref="I68:I71"/>
    <mergeCell ref="I74:I78"/>
    <mergeCell ref="I80:I83"/>
    <mergeCell ref="I86:I88"/>
    <mergeCell ref="I92:I95"/>
    <mergeCell ref="I62:I66"/>
    <mergeCell ref="I2:I11"/>
    <mergeCell ref="I14:I23"/>
    <mergeCell ref="I28:I35"/>
    <mergeCell ref="I50:I54"/>
    <mergeCell ref="I58:I59"/>
  </mergeCells>
  <phoneticPr fontId="2" type="noConversion"/>
  <hyperlinks>
    <hyperlink ref="I26" r:id="rId1" xr:uid="{773AC405-3CF0-4AC9-8714-44FC30518065}"/>
    <hyperlink ref="I27" r:id="rId2" display="https://www.researchgate.net/profile/Arman-Aghahosseini/publication/321344382_The_role_of_hydrogen_production_in_100_renewable_energy_systems_in_the_power_and_industrial_gas_sectors/links/5c652de5a6fdccb608c12a93/The-role-of-hydrogen-production-in-100-renewable-energy-systems-in-the-power-and-industrial-gas-sectors.pdf?origin=publication_detail" xr:uid="{0FBB7343-18DF-4E5F-83A3-05D19C0088B3}"/>
    <hyperlink ref="I28" r:id="rId3" xr:uid="{FB8FD68A-F20B-4B46-B59B-49D52EC9D09E}"/>
    <hyperlink ref="I39" r:id="rId4" display="https://www.researchgate.net/profile/Arman-Aghahosseini/publication/321344382_The_role_of_hydrogen_production_in_100_renewable_energy_systems_in_the_power_and_industrial_gas_sectors/links/5c652de5a6fdccb608c12a93/The-role-of-hydrogen-production-in-100-renewable-energy-systems-in-the-power-and-industrial-gas-sectors.pdf?origin=publication_detail" xr:uid="{5123D2BC-95D9-463C-858D-FD42096F21FD}"/>
    <hyperlink ref="I38" r:id="rId5" xr:uid="{E8324B47-5172-49B8-9D34-4DF47EA44F53}"/>
    <hyperlink ref="I46" r:id="rId6" display="https://www.researchgate.net/profile/Arman-Aghahosseini/publication/321344382_The_role_of_hydrogen_production_in_100_renewable_energy_systems_in_the_power_and_industrial_gas_sectors/links/5c652de5a6fdccb608c12a93/The-role-of-hydrogen-production-in-100-renewable-energy-systems-in-the-power-and-industrial-gas-sectors.pdf?origin=publication_detail" xr:uid="{E543A206-2CA7-43BB-A946-CCB2D365C8D0}"/>
    <hyperlink ref="I44" r:id="rId7" display="https://steelheadcomposites.com/hydrogen-storage/" xr:uid="{D02CD3E3-6579-4A14-9BD5-196E88CDD58B}"/>
    <hyperlink ref="I58" r:id="rId8" xr:uid="{97C2C3E9-AA51-476E-869D-06A75E7B150F}"/>
    <hyperlink ref="I68" r:id="rId9" xr:uid="{3B2DB9DE-08DE-4845-B1D4-00B4696C90B4}"/>
    <hyperlink ref="I80" r:id="rId10" xr:uid="{44914242-FD14-4828-8580-9D8002D97D77}"/>
    <hyperlink ref="I110" r:id="rId11" display="https://ars.els-cdn.com/content/image/1-s2.0-S1364032121008352-mmc1.pdf" xr:uid="{C29C0C31-C82D-4DEA-9884-742732D0188A}"/>
    <hyperlink ref="I2" r:id="rId12" xr:uid="{A61259E1-BB30-44FB-AF07-2BD36C14383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36223-E75D-4768-A9FC-ECD5C00D9467}">
  <sheetPr codeName="Hoja9"/>
  <dimension ref="A1:J80"/>
  <sheetViews>
    <sheetView workbookViewId="0">
      <selection activeCell="A56" sqref="A56"/>
    </sheetView>
  </sheetViews>
  <sheetFormatPr defaultColWidth="11.42578125" defaultRowHeight="14.25"/>
  <cols>
    <col min="1" max="1" width="35.28515625" bestFit="1" customWidth="1"/>
    <col min="9" max="9" width="11.5703125" style="71"/>
    <col min="10" max="10" width="76.28515625" customWidth="1"/>
  </cols>
  <sheetData>
    <row r="1" spans="1:10" ht="14.65" thickBot="1">
      <c r="A1" s="114" t="s">
        <v>911</v>
      </c>
      <c r="B1" s="86">
        <v>2020</v>
      </c>
      <c r="C1" s="80">
        <v>2025</v>
      </c>
      <c r="D1" s="80">
        <v>2030</v>
      </c>
      <c r="E1" s="80">
        <v>2035</v>
      </c>
      <c r="F1" s="80">
        <v>2040</v>
      </c>
      <c r="G1" s="80">
        <v>2045</v>
      </c>
      <c r="H1" s="80">
        <v>2050</v>
      </c>
      <c r="I1" s="81" t="s">
        <v>567</v>
      </c>
      <c r="J1" s="82" t="s">
        <v>568</v>
      </c>
    </row>
    <row r="2" spans="1:10" ht="16.899999999999999" customHeight="1">
      <c r="A2" s="90" t="s">
        <v>912</v>
      </c>
      <c r="B2" s="87">
        <v>234</v>
      </c>
      <c r="C2" s="78">
        <v>153</v>
      </c>
      <c r="D2" s="78">
        <v>110</v>
      </c>
      <c r="E2" s="78">
        <v>89</v>
      </c>
      <c r="F2" s="78">
        <v>76</v>
      </c>
      <c r="G2" s="78">
        <v>68</v>
      </c>
      <c r="H2" s="78">
        <v>61</v>
      </c>
      <c r="I2" s="209" t="s">
        <v>628</v>
      </c>
      <c r="J2" s="83"/>
    </row>
    <row r="3" spans="1:10">
      <c r="A3" s="91" t="s">
        <v>913</v>
      </c>
      <c r="B3" s="88">
        <v>3.28</v>
      </c>
      <c r="C3" s="73">
        <v>2.6</v>
      </c>
      <c r="D3" s="73">
        <v>2.2000000000000002</v>
      </c>
      <c r="E3" s="73">
        <v>2.0499999999999998</v>
      </c>
      <c r="F3" s="73">
        <v>1.9</v>
      </c>
      <c r="G3" s="73">
        <v>1.77</v>
      </c>
      <c r="H3" s="73">
        <v>1.71</v>
      </c>
      <c r="I3" s="209"/>
      <c r="J3" s="9"/>
    </row>
    <row r="4" spans="1:10">
      <c r="A4" s="91" t="s">
        <v>752</v>
      </c>
      <c r="B4" s="88">
        <v>0</v>
      </c>
      <c r="C4" s="73">
        <v>0</v>
      </c>
      <c r="D4" s="73">
        <v>0</v>
      </c>
      <c r="E4" s="73">
        <v>0</v>
      </c>
      <c r="F4" s="73">
        <v>0</v>
      </c>
      <c r="G4" s="73">
        <v>0</v>
      </c>
      <c r="H4" s="73">
        <v>0</v>
      </c>
      <c r="I4" s="210"/>
      <c r="J4" s="9"/>
    </row>
    <row r="5" spans="1:10">
      <c r="A5" s="91" t="s">
        <v>914</v>
      </c>
      <c r="B5" s="88" t="s">
        <v>915</v>
      </c>
      <c r="C5" s="73" t="s">
        <v>915</v>
      </c>
      <c r="D5" s="73" t="s">
        <v>915</v>
      </c>
      <c r="E5" s="73" t="s">
        <v>915</v>
      </c>
      <c r="F5" s="73" t="s">
        <v>915</v>
      </c>
      <c r="G5" s="73" t="s">
        <v>915</v>
      </c>
      <c r="H5" s="73" t="s">
        <v>915</v>
      </c>
      <c r="I5" s="208" t="s">
        <v>916</v>
      </c>
      <c r="J5" s="9"/>
    </row>
    <row r="6" spans="1:10">
      <c r="A6" s="91" t="s">
        <v>917</v>
      </c>
      <c r="B6" s="88" t="s">
        <v>651</v>
      </c>
      <c r="C6" s="73" t="s">
        <v>651</v>
      </c>
      <c r="D6" s="73" t="s">
        <v>651</v>
      </c>
      <c r="E6" s="73" t="s">
        <v>651</v>
      </c>
      <c r="F6" s="73" t="s">
        <v>651</v>
      </c>
      <c r="G6" s="73" t="s">
        <v>651</v>
      </c>
      <c r="H6" s="73" t="s">
        <v>651</v>
      </c>
      <c r="I6" s="209"/>
      <c r="J6" s="9"/>
    </row>
    <row r="7" spans="1:10" ht="45.6" customHeight="1">
      <c r="A7" s="91" t="s">
        <v>918</v>
      </c>
      <c r="B7" s="88">
        <v>90</v>
      </c>
      <c r="C7" s="73">
        <v>91</v>
      </c>
      <c r="D7" s="73">
        <v>92</v>
      </c>
      <c r="E7" s="73">
        <v>93</v>
      </c>
      <c r="F7" s="73">
        <v>94</v>
      </c>
      <c r="G7" s="73">
        <v>95</v>
      </c>
      <c r="H7" s="73">
        <v>95</v>
      </c>
      <c r="I7" s="209"/>
      <c r="J7" s="99" t="s">
        <v>919</v>
      </c>
    </row>
    <row r="8" spans="1:10">
      <c r="A8" s="91" t="s">
        <v>920</v>
      </c>
      <c r="B8" s="88" t="s">
        <v>921</v>
      </c>
      <c r="C8" s="73" t="s">
        <v>921</v>
      </c>
      <c r="D8" s="73" t="s">
        <v>921</v>
      </c>
      <c r="E8" s="73" t="s">
        <v>921</v>
      </c>
      <c r="F8" s="73" t="s">
        <v>921</v>
      </c>
      <c r="G8" s="73" t="s">
        <v>921</v>
      </c>
      <c r="H8" s="73" t="s">
        <v>921</v>
      </c>
      <c r="I8" s="209"/>
      <c r="J8" s="9"/>
    </row>
    <row r="9" spans="1:10">
      <c r="A9" s="91" t="s">
        <v>922</v>
      </c>
      <c r="B9" s="88">
        <v>3500</v>
      </c>
      <c r="C9" s="73">
        <v>3500</v>
      </c>
      <c r="D9" s="73">
        <v>3500</v>
      </c>
      <c r="E9" s="73">
        <v>3500</v>
      </c>
      <c r="F9" s="73">
        <v>3500</v>
      </c>
      <c r="G9" s="73">
        <v>3500</v>
      </c>
      <c r="H9" s="73">
        <v>3500</v>
      </c>
      <c r="I9" s="209"/>
      <c r="J9" s="9"/>
    </row>
    <row r="10" spans="1:10">
      <c r="A10" s="91" t="s">
        <v>850</v>
      </c>
      <c r="B10" s="88">
        <v>100</v>
      </c>
      <c r="C10" s="73">
        <v>100</v>
      </c>
      <c r="D10" s="73">
        <v>100</v>
      </c>
      <c r="E10" s="73">
        <v>100</v>
      </c>
      <c r="F10" s="73">
        <v>100</v>
      </c>
      <c r="G10" s="73">
        <v>100</v>
      </c>
      <c r="H10" s="73">
        <v>100</v>
      </c>
      <c r="I10" s="209"/>
      <c r="J10" s="9"/>
    </row>
    <row r="11" spans="1:10">
      <c r="A11" s="91" t="s">
        <v>640</v>
      </c>
      <c r="B11" s="88">
        <v>0</v>
      </c>
      <c r="C11" s="73">
        <v>0</v>
      </c>
      <c r="D11" s="73">
        <v>0</v>
      </c>
      <c r="E11" s="73">
        <v>0</v>
      </c>
      <c r="F11" s="73">
        <v>0</v>
      </c>
      <c r="G11" s="73">
        <v>0</v>
      </c>
      <c r="H11" s="73">
        <v>0</v>
      </c>
      <c r="I11" s="209"/>
      <c r="J11" s="9"/>
    </row>
    <row r="12" spans="1:10" ht="14.65" thickBot="1">
      <c r="A12" s="92" t="s">
        <v>611</v>
      </c>
      <c r="B12" s="89">
        <v>20</v>
      </c>
      <c r="C12" s="75">
        <v>20</v>
      </c>
      <c r="D12" s="75">
        <v>20</v>
      </c>
      <c r="E12" s="75">
        <v>20</v>
      </c>
      <c r="F12" s="75">
        <v>20</v>
      </c>
      <c r="G12" s="75">
        <v>20</v>
      </c>
      <c r="H12" s="75">
        <v>20</v>
      </c>
      <c r="I12" s="222"/>
      <c r="J12" s="13"/>
    </row>
    <row r="13" spans="1:10" ht="14.65" thickBot="1">
      <c r="A13" s="33"/>
    </row>
    <row r="14" spans="1:10" ht="14.65" thickBot="1">
      <c r="A14" s="114" t="s">
        <v>93</v>
      </c>
      <c r="B14" s="86">
        <v>2020</v>
      </c>
      <c r="C14" s="80">
        <v>2025</v>
      </c>
      <c r="D14" s="80">
        <v>2030</v>
      </c>
      <c r="E14" s="80">
        <v>2035</v>
      </c>
      <c r="F14" s="80">
        <v>2040</v>
      </c>
      <c r="G14" s="80">
        <v>2045</v>
      </c>
      <c r="H14" s="80">
        <v>2050</v>
      </c>
      <c r="I14" s="81" t="s">
        <v>567</v>
      </c>
      <c r="J14" s="82" t="s">
        <v>568</v>
      </c>
    </row>
    <row r="15" spans="1:10" ht="22.15" customHeight="1">
      <c r="A15" s="90" t="s">
        <v>702</v>
      </c>
      <c r="B15" s="87">
        <v>117</v>
      </c>
      <c r="C15" s="78">
        <v>76</v>
      </c>
      <c r="D15" s="78">
        <v>55</v>
      </c>
      <c r="E15" s="78">
        <v>44</v>
      </c>
      <c r="F15" s="78">
        <v>37</v>
      </c>
      <c r="G15" s="78">
        <v>33</v>
      </c>
      <c r="H15" s="78">
        <v>30</v>
      </c>
      <c r="I15" s="209" t="s">
        <v>628</v>
      </c>
      <c r="J15" s="83"/>
    </row>
    <row r="16" spans="1:10">
      <c r="A16" s="91" t="s">
        <v>751</v>
      </c>
      <c r="B16" s="88">
        <v>1.64</v>
      </c>
      <c r="C16" s="73">
        <v>1.29</v>
      </c>
      <c r="D16" s="73">
        <v>1.1000000000000001</v>
      </c>
      <c r="E16" s="73">
        <v>1.01</v>
      </c>
      <c r="F16" s="73">
        <v>0.93</v>
      </c>
      <c r="G16" s="73">
        <v>0.86</v>
      </c>
      <c r="H16" s="73">
        <v>0.84</v>
      </c>
      <c r="I16" s="209"/>
      <c r="J16" s="9"/>
    </row>
    <row r="17" spans="1:10">
      <c r="A17" s="91" t="s">
        <v>752</v>
      </c>
      <c r="B17" s="88">
        <v>0</v>
      </c>
      <c r="C17" s="73">
        <v>0</v>
      </c>
      <c r="D17" s="73">
        <v>0</v>
      </c>
      <c r="E17" s="73">
        <v>0</v>
      </c>
      <c r="F17" s="73">
        <v>0</v>
      </c>
      <c r="G17" s="73">
        <v>0</v>
      </c>
      <c r="H17" s="73">
        <v>0</v>
      </c>
      <c r="I17" s="209"/>
      <c r="J17" s="9"/>
    </row>
    <row r="18" spans="1:10">
      <c r="A18" s="91" t="s">
        <v>923</v>
      </c>
      <c r="B18" s="88">
        <v>0</v>
      </c>
      <c r="C18" s="73">
        <v>0</v>
      </c>
      <c r="D18" s="73">
        <v>0</v>
      </c>
      <c r="E18" s="73">
        <v>0</v>
      </c>
      <c r="F18" s="73">
        <v>0</v>
      </c>
      <c r="G18" s="73">
        <v>0</v>
      </c>
      <c r="H18" s="73">
        <v>0</v>
      </c>
      <c r="I18" s="209"/>
      <c r="J18" s="9"/>
    </row>
    <row r="19" spans="1:10" ht="14.65" thickBot="1">
      <c r="A19" s="92" t="s">
        <v>611</v>
      </c>
      <c r="B19" s="89">
        <v>20</v>
      </c>
      <c r="C19" s="75">
        <v>20</v>
      </c>
      <c r="D19" s="75">
        <v>20</v>
      </c>
      <c r="E19" s="75">
        <v>20</v>
      </c>
      <c r="F19" s="75">
        <v>20</v>
      </c>
      <c r="G19" s="75">
        <v>20</v>
      </c>
      <c r="H19" s="75">
        <v>20</v>
      </c>
      <c r="I19" s="222"/>
      <c r="J19" s="13"/>
    </row>
    <row r="20" spans="1:10" ht="14.65" thickBot="1">
      <c r="I20" s="72"/>
    </row>
    <row r="21" spans="1:10" ht="14.65" thickBot="1">
      <c r="A21" s="114" t="s">
        <v>96</v>
      </c>
      <c r="B21" s="86">
        <v>2020</v>
      </c>
      <c r="C21" s="80">
        <v>2025</v>
      </c>
      <c r="D21" s="80">
        <v>2030</v>
      </c>
      <c r="E21" s="80">
        <v>2035</v>
      </c>
      <c r="F21" s="80">
        <v>2040</v>
      </c>
      <c r="G21" s="80">
        <v>2045</v>
      </c>
      <c r="H21" s="80">
        <v>2050</v>
      </c>
      <c r="I21" s="81" t="s">
        <v>567</v>
      </c>
      <c r="J21" s="82" t="s">
        <v>568</v>
      </c>
    </row>
    <row r="22" spans="1:10" ht="15.6" customHeight="1">
      <c r="A22" s="90" t="s">
        <v>702</v>
      </c>
      <c r="B22" s="87">
        <v>117</v>
      </c>
      <c r="C22" s="78">
        <v>76</v>
      </c>
      <c r="D22" s="78">
        <v>55</v>
      </c>
      <c r="E22" s="78">
        <v>44</v>
      </c>
      <c r="F22" s="78">
        <v>37</v>
      </c>
      <c r="G22" s="78">
        <v>33</v>
      </c>
      <c r="H22" s="78">
        <v>30</v>
      </c>
      <c r="I22" s="209" t="s">
        <v>628</v>
      </c>
      <c r="J22" s="83"/>
    </row>
    <row r="23" spans="1:10">
      <c r="A23" s="91" t="s">
        <v>751</v>
      </c>
      <c r="B23" s="88">
        <v>1.64</v>
      </c>
      <c r="C23" s="73">
        <v>1.29</v>
      </c>
      <c r="D23" s="73">
        <v>1.1000000000000001</v>
      </c>
      <c r="E23" s="73">
        <v>1.01</v>
      </c>
      <c r="F23" s="73">
        <v>0.93</v>
      </c>
      <c r="G23" s="73">
        <v>0.86</v>
      </c>
      <c r="H23" s="73">
        <v>0.84</v>
      </c>
      <c r="I23" s="209"/>
      <c r="J23" s="9"/>
    </row>
    <row r="24" spans="1:10">
      <c r="A24" s="91" t="s">
        <v>752</v>
      </c>
      <c r="B24" s="88">
        <v>0</v>
      </c>
      <c r="C24" s="73">
        <v>0</v>
      </c>
      <c r="D24" s="73">
        <v>0</v>
      </c>
      <c r="E24" s="73">
        <v>0</v>
      </c>
      <c r="F24" s="73">
        <v>0</v>
      </c>
      <c r="G24" s="73">
        <v>0</v>
      </c>
      <c r="H24" s="73">
        <v>0</v>
      </c>
      <c r="I24" s="209"/>
      <c r="J24" s="9"/>
    </row>
    <row r="25" spans="1:10">
      <c r="A25" s="91" t="s">
        <v>923</v>
      </c>
      <c r="B25" s="88">
        <v>0</v>
      </c>
      <c r="C25" s="73">
        <v>0</v>
      </c>
      <c r="D25" s="73">
        <v>0</v>
      </c>
      <c r="E25" s="73">
        <v>0</v>
      </c>
      <c r="F25" s="73">
        <v>0</v>
      </c>
      <c r="G25" s="73">
        <v>0</v>
      </c>
      <c r="H25" s="73">
        <v>0</v>
      </c>
      <c r="I25" s="209"/>
      <c r="J25" s="9"/>
    </row>
    <row r="26" spans="1:10" ht="14.65" thickBot="1">
      <c r="A26" s="92" t="s">
        <v>611</v>
      </c>
      <c r="B26" s="89">
        <v>20</v>
      </c>
      <c r="C26" s="75">
        <v>20</v>
      </c>
      <c r="D26" s="75">
        <v>20</v>
      </c>
      <c r="E26" s="75">
        <v>20</v>
      </c>
      <c r="F26" s="75">
        <v>20</v>
      </c>
      <c r="G26" s="75">
        <v>20</v>
      </c>
      <c r="H26" s="75">
        <v>20</v>
      </c>
      <c r="I26" s="222"/>
      <c r="J26" s="13"/>
    </row>
    <row r="27" spans="1:10" ht="14.65" thickBot="1"/>
    <row r="28" spans="1:10" ht="14.65" thickBot="1">
      <c r="A28" s="114" t="s">
        <v>924</v>
      </c>
      <c r="B28" s="86">
        <v>2020</v>
      </c>
      <c r="C28" s="80">
        <v>2025</v>
      </c>
      <c r="D28" s="80">
        <v>2030</v>
      </c>
      <c r="E28" s="80">
        <v>2035</v>
      </c>
      <c r="F28" s="80">
        <v>2040</v>
      </c>
      <c r="G28" s="80">
        <v>2045</v>
      </c>
      <c r="H28" s="80">
        <v>2050</v>
      </c>
      <c r="I28" s="81" t="s">
        <v>567</v>
      </c>
      <c r="J28" s="82" t="s">
        <v>568</v>
      </c>
    </row>
    <row r="29" spans="1:10" ht="13.9" customHeight="1">
      <c r="A29" s="90" t="s">
        <v>912</v>
      </c>
      <c r="B29" s="87">
        <v>6.75</v>
      </c>
      <c r="C29" s="78">
        <v>6.75</v>
      </c>
      <c r="D29" s="78">
        <v>6.75</v>
      </c>
      <c r="E29" s="78">
        <v>6.75</v>
      </c>
      <c r="F29" s="78">
        <v>6.75</v>
      </c>
      <c r="G29" s="78">
        <v>6.75</v>
      </c>
      <c r="H29" s="78">
        <v>6.75</v>
      </c>
      <c r="I29" s="79" t="s">
        <v>925</v>
      </c>
      <c r="J29" s="83"/>
    </row>
    <row r="30" spans="1:10" ht="16.149999999999999" customHeight="1">
      <c r="A30" s="91" t="s">
        <v>913</v>
      </c>
      <c r="B30" s="88">
        <v>1.335</v>
      </c>
      <c r="C30" s="73">
        <v>1.335</v>
      </c>
      <c r="D30" s="73">
        <v>1.335</v>
      </c>
      <c r="E30" s="73">
        <v>1.335</v>
      </c>
      <c r="F30" s="73">
        <v>1.335</v>
      </c>
      <c r="G30" s="73">
        <v>1.335</v>
      </c>
      <c r="H30" s="73">
        <v>1.335</v>
      </c>
      <c r="I30" s="208" t="s">
        <v>628</v>
      </c>
      <c r="J30" s="9"/>
    </row>
    <row r="31" spans="1:10">
      <c r="A31" s="91" t="s">
        <v>752</v>
      </c>
      <c r="B31" s="88">
        <v>0</v>
      </c>
      <c r="C31" s="73">
        <v>0</v>
      </c>
      <c r="D31" s="73">
        <v>0</v>
      </c>
      <c r="E31" s="73">
        <v>0</v>
      </c>
      <c r="F31" s="73">
        <v>0</v>
      </c>
      <c r="G31" s="73">
        <v>0</v>
      </c>
      <c r="H31" s="73">
        <v>0</v>
      </c>
      <c r="I31" s="210"/>
      <c r="J31" s="9"/>
    </row>
    <row r="32" spans="1:10">
      <c r="A32" s="91" t="s">
        <v>914</v>
      </c>
      <c r="B32" s="88" t="s">
        <v>926</v>
      </c>
      <c r="C32" s="73" t="s">
        <v>926</v>
      </c>
      <c r="D32" s="73" t="s">
        <v>926</v>
      </c>
      <c r="E32" s="73" t="s">
        <v>926</v>
      </c>
      <c r="F32" s="73" t="s">
        <v>926</v>
      </c>
      <c r="G32" s="73" t="s">
        <v>926</v>
      </c>
      <c r="H32" s="73" t="s">
        <v>926</v>
      </c>
      <c r="I32" s="208" t="s">
        <v>916</v>
      </c>
      <c r="J32" s="9"/>
    </row>
    <row r="33" spans="1:10">
      <c r="A33" s="91" t="s">
        <v>917</v>
      </c>
      <c r="B33" s="88" t="s">
        <v>651</v>
      </c>
      <c r="C33" s="73" t="s">
        <v>651</v>
      </c>
      <c r="D33" s="73" t="s">
        <v>651</v>
      </c>
      <c r="E33" s="73" t="s">
        <v>651</v>
      </c>
      <c r="F33" s="73" t="s">
        <v>651</v>
      </c>
      <c r="G33" s="73" t="s">
        <v>651</v>
      </c>
      <c r="H33" s="73" t="s">
        <v>651</v>
      </c>
      <c r="I33" s="209"/>
      <c r="J33" s="9"/>
    </row>
    <row r="34" spans="1:10" ht="43.9" customHeight="1">
      <c r="A34" s="91" t="s">
        <v>918</v>
      </c>
      <c r="B34" s="88">
        <v>85</v>
      </c>
      <c r="C34" s="73">
        <v>85</v>
      </c>
      <c r="D34" s="73">
        <v>85</v>
      </c>
      <c r="E34" s="73">
        <v>85</v>
      </c>
      <c r="F34" s="73">
        <v>85</v>
      </c>
      <c r="G34" s="73">
        <v>85</v>
      </c>
      <c r="H34" s="73">
        <v>85</v>
      </c>
      <c r="I34" s="209"/>
      <c r="J34" s="99" t="s">
        <v>919</v>
      </c>
    </row>
    <row r="35" spans="1:10">
      <c r="A35" s="91" t="s">
        <v>920</v>
      </c>
      <c r="B35" s="88" t="s">
        <v>927</v>
      </c>
      <c r="C35" s="73" t="s">
        <v>927</v>
      </c>
      <c r="D35" s="73" t="s">
        <v>927</v>
      </c>
      <c r="E35" s="73" t="s">
        <v>927</v>
      </c>
      <c r="F35" s="73" t="s">
        <v>927</v>
      </c>
      <c r="G35" s="73" t="s">
        <v>927</v>
      </c>
      <c r="H35" s="73" t="s">
        <v>927</v>
      </c>
      <c r="I35" s="209"/>
      <c r="J35" s="9"/>
    </row>
    <row r="36" spans="1:10">
      <c r="A36" s="91" t="s">
        <v>922</v>
      </c>
      <c r="B36" s="88">
        <v>50000</v>
      </c>
      <c r="C36" s="73">
        <v>20000</v>
      </c>
      <c r="D36" s="73">
        <v>20000</v>
      </c>
      <c r="E36" s="73">
        <v>20000</v>
      </c>
      <c r="F36" s="73">
        <v>20000</v>
      </c>
      <c r="G36" s="73">
        <v>20000</v>
      </c>
      <c r="H36" s="73">
        <v>20000</v>
      </c>
      <c r="I36" s="209"/>
      <c r="J36" s="9"/>
    </row>
    <row r="37" spans="1:10">
      <c r="A37" s="91" t="s">
        <v>850</v>
      </c>
      <c r="B37" s="88">
        <v>100</v>
      </c>
      <c r="C37" s="73">
        <v>100</v>
      </c>
      <c r="D37" s="73">
        <v>100</v>
      </c>
      <c r="E37" s="73">
        <v>100</v>
      </c>
      <c r="F37" s="73">
        <v>100</v>
      </c>
      <c r="G37" s="73">
        <v>100</v>
      </c>
      <c r="H37" s="73">
        <v>100</v>
      </c>
      <c r="I37" s="209"/>
      <c r="J37" s="9"/>
    </row>
    <row r="38" spans="1:10">
      <c r="A38" s="91" t="s">
        <v>640</v>
      </c>
      <c r="B38" s="88">
        <v>0</v>
      </c>
      <c r="C38" s="73">
        <v>0</v>
      </c>
      <c r="D38" s="73">
        <v>0</v>
      </c>
      <c r="E38" s="73">
        <v>0</v>
      </c>
      <c r="F38" s="73">
        <v>0</v>
      </c>
      <c r="G38" s="73">
        <v>0</v>
      </c>
      <c r="H38" s="73">
        <v>0</v>
      </c>
      <c r="I38" s="209"/>
      <c r="J38" s="9"/>
    </row>
    <row r="39" spans="1:10" ht="14.65" thickBot="1">
      <c r="A39" s="92" t="s">
        <v>611</v>
      </c>
      <c r="B39" s="89">
        <v>50</v>
      </c>
      <c r="C39" s="75">
        <v>50</v>
      </c>
      <c r="D39" s="75">
        <v>50</v>
      </c>
      <c r="E39" s="75">
        <v>50</v>
      </c>
      <c r="F39" s="75">
        <v>50</v>
      </c>
      <c r="G39" s="75">
        <v>50</v>
      </c>
      <c r="H39" s="75">
        <v>50</v>
      </c>
      <c r="I39" s="222"/>
      <c r="J39" s="13"/>
    </row>
    <row r="40" spans="1:10" ht="14.65" thickBot="1"/>
    <row r="41" spans="1:10" ht="14.65" thickBot="1">
      <c r="A41" s="114" t="s">
        <v>91</v>
      </c>
      <c r="B41" s="86">
        <v>2020</v>
      </c>
      <c r="C41" s="80">
        <v>2025</v>
      </c>
      <c r="D41" s="80">
        <v>2030</v>
      </c>
      <c r="E41" s="80">
        <v>2035</v>
      </c>
      <c r="F41" s="80">
        <v>2040</v>
      </c>
      <c r="G41" s="80">
        <v>2045</v>
      </c>
      <c r="H41" s="80">
        <v>2050</v>
      </c>
      <c r="I41" s="81" t="s">
        <v>567</v>
      </c>
      <c r="J41" s="82" t="s">
        <v>568</v>
      </c>
    </row>
    <row r="42" spans="1:10" ht="18.600000000000001" customHeight="1">
      <c r="A42" s="90" t="s">
        <v>702</v>
      </c>
      <c r="B42" s="87">
        <v>2100</v>
      </c>
      <c r="C42" s="78">
        <v>2100</v>
      </c>
      <c r="D42" s="78">
        <v>2100</v>
      </c>
      <c r="E42" s="78">
        <v>2100</v>
      </c>
      <c r="F42" s="78">
        <v>2100</v>
      </c>
      <c r="G42" s="78">
        <v>2100</v>
      </c>
      <c r="H42" s="78">
        <v>2100</v>
      </c>
      <c r="I42" s="79" t="s">
        <v>925</v>
      </c>
      <c r="J42" s="83"/>
    </row>
    <row r="43" spans="1:10" ht="15.6" customHeight="1">
      <c r="A43" s="91" t="s">
        <v>751</v>
      </c>
      <c r="B43" s="88">
        <v>0</v>
      </c>
      <c r="C43" s="73">
        <v>0</v>
      </c>
      <c r="D43" s="73">
        <v>0</v>
      </c>
      <c r="E43" s="73">
        <v>0</v>
      </c>
      <c r="F43" s="73">
        <v>0</v>
      </c>
      <c r="G43" s="73">
        <v>0</v>
      </c>
      <c r="H43" s="73">
        <v>0</v>
      </c>
      <c r="I43" s="208" t="s">
        <v>628</v>
      </c>
      <c r="J43" s="9"/>
    </row>
    <row r="44" spans="1:10">
      <c r="A44" s="91" t="s">
        <v>752</v>
      </c>
      <c r="B44" s="88">
        <v>0</v>
      </c>
      <c r="C44" s="73">
        <v>0</v>
      </c>
      <c r="D44" s="73">
        <v>0</v>
      </c>
      <c r="E44" s="73">
        <v>0</v>
      </c>
      <c r="F44" s="73">
        <v>0</v>
      </c>
      <c r="G44" s="73">
        <v>0</v>
      </c>
      <c r="H44" s="73">
        <v>0</v>
      </c>
      <c r="I44" s="209"/>
      <c r="J44" s="9"/>
    </row>
    <row r="45" spans="1:10">
      <c r="A45" s="91" t="s">
        <v>923</v>
      </c>
      <c r="B45" s="88">
        <v>0</v>
      </c>
      <c r="C45" s="73">
        <v>0</v>
      </c>
      <c r="D45" s="73">
        <v>0</v>
      </c>
      <c r="E45" s="73">
        <v>0</v>
      </c>
      <c r="F45" s="73">
        <v>0</v>
      </c>
      <c r="G45" s="73">
        <v>0</v>
      </c>
      <c r="H45" s="73">
        <v>0</v>
      </c>
      <c r="I45" s="209"/>
      <c r="J45" s="9"/>
    </row>
    <row r="46" spans="1:10" ht="14.65" thickBot="1">
      <c r="A46" s="92" t="s">
        <v>611</v>
      </c>
      <c r="B46" s="89">
        <v>50</v>
      </c>
      <c r="C46" s="75">
        <v>50</v>
      </c>
      <c r="D46" s="75">
        <v>50</v>
      </c>
      <c r="E46" s="75">
        <v>50</v>
      </c>
      <c r="F46" s="75">
        <v>50</v>
      </c>
      <c r="G46" s="75">
        <v>50</v>
      </c>
      <c r="H46" s="75">
        <v>50</v>
      </c>
      <c r="I46" s="222"/>
      <c r="J46" s="13"/>
    </row>
    <row r="47" spans="1:10" ht="14.65" thickBot="1"/>
    <row r="48" spans="1:10" ht="14.65" thickBot="1">
      <c r="A48" s="114" t="s">
        <v>86</v>
      </c>
      <c r="B48" s="86">
        <v>2020</v>
      </c>
      <c r="C48" s="80">
        <v>2025</v>
      </c>
      <c r="D48" s="80">
        <v>2030</v>
      </c>
      <c r="E48" s="80">
        <v>2035</v>
      </c>
      <c r="F48" s="80">
        <v>2040</v>
      </c>
      <c r="G48" s="80">
        <v>2045</v>
      </c>
      <c r="H48" s="80">
        <v>2050</v>
      </c>
      <c r="I48" s="81" t="s">
        <v>567</v>
      </c>
      <c r="J48" s="82" t="s">
        <v>568</v>
      </c>
    </row>
    <row r="49" spans="1:10" ht="16.149999999999999" customHeight="1">
      <c r="A49" s="90" t="s">
        <v>702</v>
      </c>
      <c r="B49" s="87">
        <v>2100</v>
      </c>
      <c r="C49" s="78">
        <v>2100</v>
      </c>
      <c r="D49" s="78">
        <v>2100</v>
      </c>
      <c r="E49" s="78">
        <v>2100</v>
      </c>
      <c r="F49" s="78">
        <v>2100</v>
      </c>
      <c r="G49" s="78">
        <v>2100</v>
      </c>
      <c r="H49" s="78">
        <v>2100</v>
      </c>
      <c r="I49" s="79" t="s">
        <v>925</v>
      </c>
      <c r="J49" s="83"/>
    </row>
    <row r="50" spans="1:10" ht="16.149999999999999" customHeight="1">
      <c r="A50" s="91" t="s">
        <v>751</v>
      </c>
      <c r="B50" s="88">
        <v>0</v>
      </c>
      <c r="C50" s="73">
        <v>0</v>
      </c>
      <c r="D50" s="73">
        <v>0</v>
      </c>
      <c r="E50" s="73">
        <v>0</v>
      </c>
      <c r="F50" s="73">
        <v>0</v>
      </c>
      <c r="G50" s="73">
        <v>0</v>
      </c>
      <c r="H50" s="73">
        <v>0</v>
      </c>
      <c r="I50" s="208" t="s">
        <v>628</v>
      </c>
      <c r="J50" s="9"/>
    </row>
    <row r="51" spans="1:10">
      <c r="A51" s="91" t="s">
        <v>752</v>
      </c>
      <c r="B51" s="88">
        <v>0</v>
      </c>
      <c r="C51" s="73">
        <v>0</v>
      </c>
      <c r="D51" s="73">
        <v>0</v>
      </c>
      <c r="E51" s="73">
        <v>0</v>
      </c>
      <c r="F51" s="73">
        <v>0</v>
      </c>
      <c r="G51" s="73">
        <v>0</v>
      </c>
      <c r="H51" s="73">
        <v>0</v>
      </c>
      <c r="I51" s="209"/>
      <c r="J51" s="9"/>
    </row>
    <row r="52" spans="1:10">
      <c r="A52" s="91" t="s">
        <v>923</v>
      </c>
      <c r="B52" s="88">
        <v>0</v>
      </c>
      <c r="C52" s="73">
        <v>0</v>
      </c>
      <c r="D52" s="73">
        <v>0</v>
      </c>
      <c r="E52" s="73">
        <v>0</v>
      </c>
      <c r="F52" s="73">
        <v>0</v>
      </c>
      <c r="G52" s="73">
        <v>0</v>
      </c>
      <c r="H52" s="73">
        <v>0</v>
      </c>
      <c r="I52" s="209"/>
      <c r="J52" s="9"/>
    </row>
    <row r="53" spans="1:10" ht="14.65" thickBot="1">
      <c r="A53" s="92" t="s">
        <v>611</v>
      </c>
      <c r="B53" s="89">
        <v>50</v>
      </c>
      <c r="C53" s="75">
        <v>50</v>
      </c>
      <c r="D53" s="75">
        <v>50</v>
      </c>
      <c r="E53" s="75">
        <v>50</v>
      </c>
      <c r="F53" s="75">
        <v>50</v>
      </c>
      <c r="G53" s="75">
        <v>50</v>
      </c>
      <c r="H53" s="75">
        <v>50</v>
      </c>
      <c r="I53" s="222"/>
      <c r="J53" s="13"/>
    </row>
    <row r="54" spans="1:10" ht="14.65" thickBot="1"/>
    <row r="55" spans="1:10" ht="14.65" thickBot="1">
      <c r="A55" s="114" t="s">
        <v>928</v>
      </c>
      <c r="B55" s="86">
        <v>2020</v>
      </c>
      <c r="C55" s="80">
        <v>2025</v>
      </c>
      <c r="D55" s="80">
        <v>2030</v>
      </c>
      <c r="E55" s="80">
        <v>2035</v>
      </c>
      <c r="F55" s="80">
        <v>2040</v>
      </c>
      <c r="G55" s="80">
        <v>2045</v>
      </c>
      <c r="H55" s="80">
        <v>2050</v>
      </c>
      <c r="I55" s="81" t="s">
        <v>567</v>
      </c>
      <c r="J55" s="82" t="s">
        <v>568</v>
      </c>
    </row>
    <row r="56" spans="1:10" ht="15.6" customHeight="1">
      <c r="A56" s="90" t="s">
        <v>912</v>
      </c>
      <c r="B56" s="87">
        <v>75</v>
      </c>
      <c r="C56" s="78">
        <v>65.3</v>
      </c>
      <c r="D56" s="78">
        <v>57.9</v>
      </c>
      <c r="E56" s="78">
        <v>53.6</v>
      </c>
      <c r="F56" s="78">
        <v>50.8</v>
      </c>
      <c r="G56" s="78">
        <v>47</v>
      </c>
      <c r="H56" s="78">
        <v>43.8</v>
      </c>
      <c r="I56" s="209" t="s">
        <v>628</v>
      </c>
      <c r="J56" s="83"/>
    </row>
    <row r="57" spans="1:10">
      <c r="A57" s="91" t="s">
        <v>913</v>
      </c>
      <c r="B57" s="88">
        <v>1.1599999999999999</v>
      </c>
      <c r="C57" s="73">
        <v>0.99</v>
      </c>
      <c r="D57" s="73">
        <v>0.87</v>
      </c>
      <c r="E57" s="73">
        <v>0.81</v>
      </c>
      <c r="F57" s="73">
        <v>0.77</v>
      </c>
      <c r="G57" s="73">
        <v>0.71</v>
      </c>
      <c r="H57" s="73">
        <v>0.66</v>
      </c>
      <c r="I57" s="209"/>
      <c r="J57" s="9"/>
    </row>
    <row r="58" spans="1:10">
      <c r="A58" s="91" t="s">
        <v>752</v>
      </c>
      <c r="B58" s="88">
        <v>0</v>
      </c>
      <c r="C58" s="73">
        <v>0</v>
      </c>
      <c r="D58" s="73">
        <v>0</v>
      </c>
      <c r="E58" s="73">
        <v>0</v>
      </c>
      <c r="F58" s="73">
        <v>0</v>
      </c>
      <c r="G58" s="73">
        <v>0</v>
      </c>
      <c r="H58" s="73">
        <v>0</v>
      </c>
      <c r="I58" s="209"/>
      <c r="J58" s="9"/>
    </row>
    <row r="59" spans="1:10">
      <c r="A59" s="91" t="s">
        <v>914</v>
      </c>
      <c r="B59" s="88" t="s">
        <v>929</v>
      </c>
      <c r="C59" s="73" t="s">
        <v>926</v>
      </c>
      <c r="D59" s="73" t="s">
        <v>926</v>
      </c>
      <c r="E59" s="73" t="s">
        <v>926</v>
      </c>
      <c r="F59" s="73" t="s">
        <v>926</v>
      </c>
      <c r="G59" s="73" t="s">
        <v>926</v>
      </c>
      <c r="H59" s="73" t="s">
        <v>926</v>
      </c>
      <c r="I59" s="209"/>
      <c r="J59" s="9"/>
    </row>
    <row r="60" spans="1:10">
      <c r="A60" s="91" t="s">
        <v>917</v>
      </c>
      <c r="B60" s="88" t="s">
        <v>651</v>
      </c>
      <c r="C60" s="73" t="s">
        <v>651</v>
      </c>
      <c r="D60" s="73" t="s">
        <v>651</v>
      </c>
      <c r="E60" s="73" t="s">
        <v>651</v>
      </c>
      <c r="F60" s="73" t="s">
        <v>651</v>
      </c>
      <c r="G60" s="73" t="s">
        <v>651</v>
      </c>
      <c r="H60" s="73" t="s">
        <v>651</v>
      </c>
      <c r="I60" s="210"/>
      <c r="J60" s="9"/>
    </row>
    <row r="61" spans="1:10" ht="42.6" customHeight="1">
      <c r="A61" s="91" t="s">
        <v>918</v>
      </c>
      <c r="B61" s="88">
        <v>54</v>
      </c>
      <c r="C61" s="73">
        <v>59</v>
      </c>
      <c r="D61" s="73">
        <v>65</v>
      </c>
      <c r="E61" s="73">
        <v>70</v>
      </c>
      <c r="F61" s="73">
        <v>70</v>
      </c>
      <c r="G61" s="73">
        <v>70</v>
      </c>
      <c r="H61" s="73">
        <v>70</v>
      </c>
      <c r="I61" s="76" t="s">
        <v>916</v>
      </c>
      <c r="J61" s="99" t="s">
        <v>919</v>
      </c>
    </row>
    <row r="62" spans="1:10" ht="15.6" customHeight="1">
      <c r="A62" s="91" t="s">
        <v>920</v>
      </c>
      <c r="B62" s="88" t="s">
        <v>930</v>
      </c>
      <c r="C62" s="73" t="s">
        <v>930</v>
      </c>
      <c r="D62" s="73" t="s">
        <v>930</v>
      </c>
      <c r="E62" s="73" t="s">
        <v>930</v>
      </c>
      <c r="F62" s="73" t="s">
        <v>930</v>
      </c>
      <c r="G62" s="73" t="s">
        <v>930</v>
      </c>
      <c r="H62" s="73" t="s">
        <v>930</v>
      </c>
      <c r="I62" s="208" t="s">
        <v>931</v>
      </c>
      <c r="J62" s="9"/>
    </row>
    <row r="63" spans="1:10">
      <c r="A63" s="91" t="s">
        <v>922</v>
      </c>
      <c r="B63" s="88">
        <v>50000</v>
      </c>
      <c r="C63" s="73">
        <v>20000</v>
      </c>
      <c r="D63" s="73">
        <v>20000</v>
      </c>
      <c r="E63" s="73">
        <v>20000</v>
      </c>
      <c r="F63" s="73">
        <v>20000</v>
      </c>
      <c r="G63" s="73">
        <v>20000</v>
      </c>
      <c r="H63" s="73">
        <v>20000</v>
      </c>
      <c r="I63" s="209"/>
      <c r="J63" s="9"/>
    </row>
    <row r="64" spans="1:10">
      <c r="A64" s="91" t="s">
        <v>850</v>
      </c>
      <c r="B64" s="88">
        <v>100</v>
      </c>
      <c r="C64" s="73">
        <v>100</v>
      </c>
      <c r="D64" s="73">
        <v>100</v>
      </c>
      <c r="E64" s="73">
        <v>100</v>
      </c>
      <c r="F64" s="73">
        <v>100</v>
      </c>
      <c r="G64" s="73">
        <v>100</v>
      </c>
      <c r="H64" s="73">
        <v>100</v>
      </c>
      <c r="I64" s="209"/>
      <c r="J64" s="9"/>
    </row>
    <row r="65" spans="1:10">
      <c r="A65" s="91" t="s">
        <v>640</v>
      </c>
      <c r="B65" s="88">
        <v>0</v>
      </c>
      <c r="C65" s="73">
        <v>0</v>
      </c>
      <c r="D65" s="73">
        <v>0</v>
      </c>
      <c r="E65" s="73">
        <v>0</v>
      </c>
      <c r="F65" s="73">
        <v>0</v>
      </c>
      <c r="G65" s="73">
        <v>0</v>
      </c>
      <c r="H65" s="73">
        <v>0</v>
      </c>
      <c r="I65" s="209"/>
      <c r="J65" s="9"/>
    </row>
    <row r="66" spans="1:10" ht="14.65" thickBot="1">
      <c r="A66" s="92" t="s">
        <v>611</v>
      </c>
      <c r="B66" s="89">
        <v>40</v>
      </c>
      <c r="C66" s="75">
        <v>40</v>
      </c>
      <c r="D66" s="75">
        <v>40</v>
      </c>
      <c r="E66" s="75">
        <v>40</v>
      </c>
      <c r="F66" s="75">
        <v>40</v>
      </c>
      <c r="G66" s="75">
        <v>40</v>
      </c>
      <c r="H66" s="75">
        <v>40</v>
      </c>
      <c r="I66" s="222"/>
      <c r="J66" s="13"/>
    </row>
    <row r="67" spans="1:10" ht="14.65" thickBot="1"/>
    <row r="68" spans="1:10" ht="14.65" thickBot="1">
      <c r="A68" s="114" t="s">
        <v>98</v>
      </c>
      <c r="B68" s="86">
        <v>2020</v>
      </c>
      <c r="C68" s="80">
        <v>2025</v>
      </c>
      <c r="D68" s="80">
        <v>2030</v>
      </c>
      <c r="E68" s="80">
        <v>2035</v>
      </c>
      <c r="F68" s="80">
        <v>2040</v>
      </c>
      <c r="G68" s="80">
        <v>2045</v>
      </c>
      <c r="H68" s="80">
        <v>2050</v>
      </c>
      <c r="I68" s="81" t="s">
        <v>567</v>
      </c>
      <c r="J68" s="82" t="s">
        <v>568</v>
      </c>
    </row>
    <row r="69" spans="1:10" ht="14.45" customHeight="1">
      <c r="A69" s="90" t="s">
        <v>702</v>
      </c>
      <c r="B69" s="87">
        <v>540</v>
      </c>
      <c r="C69" s="78">
        <v>540</v>
      </c>
      <c r="D69" s="78">
        <v>540</v>
      </c>
      <c r="E69" s="78">
        <v>540</v>
      </c>
      <c r="F69" s="78">
        <v>540</v>
      </c>
      <c r="G69" s="78">
        <v>540</v>
      </c>
      <c r="H69" s="78">
        <v>540</v>
      </c>
      <c r="I69" s="209" t="s">
        <v>628</v>
      </c>
      <c r="J69" s="83"/>
    </row>
    <row r="70" spans="1:10">
      <c r="A70" s="91" t="s">
        <v>751</v>
      </c>
      <c r="B70" s="88">
        <v>17.5</v>
      </c>
      <c r="C70" s="73">
        <v>17.5</v>
      </c>
      <c r="D70" s="73">
        <v>17.5</v>
      </c>
      <c r="E70" s="73">
        <v>17.5</v>
      </c>
      <c r="F70" s="73">
        <v>17.5</v>
      </c>
      <c r="G70" s="73">
        <v>17.5</v>
      </c>
      <c r="H70" s="73">
        <v>17.5</v>
      </c>
      <c r="I70" s="209"/>
      <c r="J70" s="9"/>
    </row>
    <row r="71" spans="1:10">
      <c r="A71" s="91" t="s">
        <v>752</v>
      </c>
      <c r="B71" s="88">
        <v>0</v>
      </c>
      <c r="C71" s="73">
        <v>0</v>
      </c>
      <c r="D71" s="73">
        <v>0</v>
      </c>
      <c r="E71" s="73">
        <v>0</v>
      </c>
      <c r="F71" s="73">
        <v>0</v>
      </c>
      <c r="G71" s="73">
        <v>0</v>
      </c>
      <c r="H71" s="73">
        <v>0</v>
      </c>
      <c r="I71" s="209"/>
      <c r="J71" s="9"/>
    </row>
    <row r="72" spans="1:10">
      <c r="A72" s="91" t="s">
        <v>923</v>
      </c>
      <c r="B72" s="88">
        <v>0</v>
      </c>
      <c r="C72" s="73">
        <v>0</v>
      </c>
      <c r="D72" s="73">
        <v>0</v>
      </c>
      <c r="E72" s="73">
        <v>0</v>
      </c>
      <c r="F72" s="73">
        <v>0</v>
      </c>
      <c r="G72" s="73">
        <v>0</v>
      </c>
      <c r="H72" s="73">
        <v>0</v>
      </c>
      <c r="I72" s="209"/>
      <c r="J72" s="9"/>
    </row>
    <row r="73" spans="1:10" ht="14.65" thickBot="1">
      <c r="A73" s="92" t="s">
        <v>611</v>
      </c>
      <c r="B73" s="89">
        <v>40</v>
      </c>
      <c r="C73" s="75">
        <v>40</v>
      </c>
      <c r="D73" s="75">
        <v>40</v>
      </c>
      <c r="E73" s="75">
        <v>40</v>
      </c>
      <c r="F73" s="75">
        <v>40</v>
      </c>
      <c r="G73" s="75">
        <v>40</v>
      </c>
      <c r="H73" s="75">
        <v>40</v>
      </c>
      <c r="I73" s="222"/>
      <c r="J73" s="13"/>
    </row>
    <row r="74" spans="1:10" ht="14.65" thickBot="1"/>
    <row r="75" spans="1:10" ht="14.65" thickBot="1">
      <c r="A75" s="114" t="s">
        <v>100</v>
      </c>
      <c r="B75" s="86">
        <v>2020</v>
      </c>
      <c r="C75" s="80">
        <v>2025</v>
      </c>
      <c r="D75" s="80">
        <v>2030</v>
      </c>
      <c r="E75" s="80">
        <v>2035</v>
      </c>
      <c r="F75" s="80">
        <v>2040</v>
      </c>
      <c r="G75" s="80">
        <v>2045</v>
      </c>
      <c r="H75" s="80">
        <v>2050</v>
      </c>
      <c r="I75" s="81" t="s">
        <v>567</v>
      </c>
      <c r="J75" s="82" t="s">
        <v>568</v>
      </c>
    </row>
    <row r="76" spans="1:10" ht="13.9" customHeight="1">
      <c r="A76" s="90" t="s">
        <v>702</v>
      </c>
      <c r="B76" s="87">
        <v>540</v>
      </c>
      <c r="C76" s="78">
        <v>540</v>
      </c>
      <c r="D76" s="78">
        <v>540</v>
      </c>
      <c r="E76" s="78">
        <v>540</v>
      </c>
      <c r="F76" s="78">
        <v>540</v>
      </c>
      <c r="G76" s="78">
        <v>540</v>
      </c>
      <c r="H76" s="78">
        <v>540</v>
      </c>
      <c r="I76" s="209" t="s">
        <v>628</v>
      </c>
      <c r="J76" s="83"/>
    </row>
    <row r="77" spans="1:10">
      <c r="A77" s="91" t="s">
        <v>751</v>
      </c>
      <c r="B77" s="88">
        <v>17.5</v>
      </c>
      <c r="C77" s="73">
        <v>17.5</v>
      </c>
      <c r="D77" s="73">
        <v>17.5</v>
      </c>
      <c r="E77" s="73">
        <v>17.5</v>
      </c>
      <c r="F77" s="73">
        <v>17.5</v>
      </c>
      <c r="G77" s="73">
        <v>17.5</v>
      </c>
      <c r="H77" s="73">
        <v>17.5</v>
      </c>
      <c r="I77" s="209"/>
      <c r="J77" s="9"/>
    </row>
    <row r="78" spans="1:10">
      <c r="A78" s="91" t="s">
        <v>752</v>
      </c>
      <c r="B78" s="88">
        <v>0</v>
      </c>
      <c r="C78" s="73">
        <v>0</v>
      </c>
      <c r="D78" s="73">
        <v>0</v>
      </c>
      <c r="E78" s="73">
        <v>0</v>
      </c>
      <c r="F78" s="73">
        <v>0</v>
      </c>
      <c r="G78" s="73">
        <v>0</v>
      </c>
      <c r="H78" s="73">
        <v>0</v>
      </c>
      <c r="I78" s="209"/>
      <c r="J78" s="9"/>
    </row>
    <row r="79" spans="1:10">
      <c r="A79" s="91" t="s">
        <v>923</v>
      </c>
      <c r="B79" s="88">
        <v>0</v>
      </c>
      <c r="C79" s="73">
        <v>0</v>
      </c>
      <c r="D79" s="73">
        <v>0</v>
      </c>
      <c r="E79" s="73">
        <v>0</v>
      </c>
      <c r="F79" s="73">
        <v>0</v>
      </c>
      <c r="G79" s="73">
        <v>0</v>
      </c>
      <c r="H79" s="73">
        <v>0</v>
      </c>
      <c r="I79" s="209"/>
      <c r="J79" s="9"/>
    </row>
    <row r="80" spans="1:10" ht="14.65" thickBot="1">
      <c r="A80" s="92" t="s">
        <v>611</v>
      </c>
      <c r="B80" s="89">
        <v>40</v>
      </c>
      <c r="C80" s="75">
        <v>40</v>
      </c>
      <c r="D80" s="75">
        <v>40</v>
      </c>
      <c r="E80" s="75">
        <v>40</v>
      </c>
      <c r="F80" s="75">
        <v>40</v>
      </c>
      <c r="G80" s="75">
        <v>40</v>
      </c>
      <c r="H80" s="75">
        <v>40</v>
      </c>
      <c r="I80" s="222"/>
      <c r="J80" s="13"/>
    </row>
  </sheetData>
  <mergeCells count="12">
    <mergeCell ref="I2:I4"/>
    <mergeCell ref="I30:I31"/>
    <mergeCell ref="I32:I39"/>
    <mergeCell ref="I22:I26"/>
    <mergeCell ref="I15:I19"/>
    <mergeCell ref="I5:I12"/>
    <mergeCell ref="I76:I80"/>
    <mergeCell ref="I69:I73"/>
    <mergeCell ref="I56:I60"/>
    <mergeCell ref="I50:I53"/>
    <mergeCell ref="I43:I46"/>
    <mergeCell ref="I62:I66"/>
  </mergeCells>
  <phoneticPr fontId="2" type="noConversion"/>
  <hyperlinks>
    <hyperlink ref="I2" r:id="rId1" display="https://ars.els-cdn.com/content/image/1-s2.0-S1364032121008352-mmc1.pdf" xr:uid="{9F594E1B-ECFC-4E0B-935D-C02F5B99987E}"/>
    <hyperlink ref="I15" r:id="rId2" display="https://ars.els-cdn.com/content/image/1-s2.0-S1364032121008352-mmc1.pdf" xr:uid="{EC703B56-BBF4-4CD9-8D61-2E77A44DCE96}"/>
    <hyperlink ref="I22" r:id="rId3" display="https://ars.els-cdn.com/content/image/1-s2.0-S1364032121008352-mmc1.pdf" xr:uid="{E2F8B475-63A9-4DAE-8DAC-7A286C2F7B9E}"/>
    <hyperlink ref="I56" r:id="rId4" display="https://ars.els-cdn.com/content/image/1-s2.0-S1364032121008352-mmc1.pdf" xr:uid="{FA8CB931-8EE9-46FB-AF62-66B28EEC7724}"/>
    <hyperlink ref="I69" r:id="rId5" display="https://ars.els-cdn.com/content/image/1-s2.0-S1364032121008352-mmc1.pdf" xr:uid="{968D3AF9-F433-4923-86BF-AF8FF6D010B1}"/>
    <hyperlink ref="I62" r:id="rId6" display="https://ars.els-cdn.com/content/image/1-s2.0-S0360544220306149-mmc1.pdf" xr:uid="{AC413657-292C-411A-A2BB-E9C4318FD0DA}"/>
    <hyperlink ref="I5" r:id="rId7" display="https://ars.els-cdn.com/content/image/1-s2.0-S0360544221007167-mmc1.pdf" xr:uid="{5E80D911-BE67-4C9A-AC35-E7200AA73DC0}"/>
    <hyperlink ref="I32" r:id="rId8" display="https://ars.els-cdn.com/content/image/1-s2.0-S0360544221007167-mmc1.pdf" xr:uid="{D567DA21-84D5-4323-8D0C-B14A3BB66AC3}"/>
    <hyperlink ref="I61" r:id="rId9" display="https://ars.els-cdn.com/content/image/1-s2.0-S0360544221007167-mmc1.pdf" xr:uid="{0DF9785A-CB93-4AA2-9C0E-DB39AC07D61E}"/>
    <hyperlink ref="I76" r:id="rId10" display="https://ars.els-cdn.com/content/image/1-s2.0-S1364032121008352-mmc1.pdf" xr:uid="{11225C85-34A0-4719-A84F-BCB6A85E7FC4}"/>
    <hyperlink ref="I30" r:id="rId11" display="https://ars.els-cdn.com/content/image/1-s2.0-S1364032121008352-mmc1.pdf" xr:uid="{EC4F8666-E3DB-48C1-877B-3A42C50A1C20}"/>
    <hyperlink ref="I43" r:id="rId12" display="https://ars.els-cdn.com/content/image/1-s2.0-S1364032121008352-mmc1.pdf" xr:uid="{1D2C49BF-907F-4C0C-81B8-8DDAB6407FA4}"/>
    <hyperlink ref="I50" r:id="rId13" display="https://ars.els-cdn.com/content/image/1-s2.0-S1364032121008352-mmc1.pdf" xr:uid="{9E1DCEC2-DB66-4849-B762-27777EA70E4F}"/>
  </hyperlinks>
  <pageMargins left="0.7" right="0.7" top="0.75" bottom="0.75" header="0.3" footer="0.3"/>
  <pageSetup orientation="portrait" r:id="rId1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b9d2b188-b8f0-4527-ab9c-6ed07e2b5a47" ContentTypeId="0x010100BD80C5A6E3BE6B41A2427F16147D47A40053312233075A4069A30329A9D6153650" PreviousValue="true"/>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c2d7d53541144364bb9d71f286b51f7e xmlns="6f562838-09de-4b65-939a-432777c5c6ca">
      <Terms xmlns="http://schemas.microsoft.com/office/infopath/2007/PartnerControls">
        <TermInfo xmlns="http://schemas.microsoft.com/office/infopath/2007/PartnerControls">
          <TermName xmlns="http://schemas.microsoft.com/office/infopath/2007/PartnerControls">Ilam</TermName>
          <TermId xmlns="http://schemas.microsoft.com/office/infopath/2007/PartnerControls">17015150-e7d5-4990-b358-e90ea571f1b0</TermId>
        </TermInfo>
      </Terms>
    </c2d7d53541144364bb9d71f286b51f7e>
    <b0b6db7483f14678a4ad7fdce99521be xmlns="6f562838-09de-4b65-939a-432777c5c6ca">
      <Terms xmlns="http://schemas.microsoft.com/office/infopath/2007/PartnerControls"/>
    </b0b6db7483f14678a4ad7fdce99521be>
    <beaf417fcb4a4faab8ee781c2aab7105 xmlns="6f562838-09de-4b65-939a-432777c5c6ca">
      <Terms xmlns="http://schemas.microsoft.com/office/infopath/2007/PartnerControls"/>
    </beaf417fcb4a4faab8ee781c2aab7105>
    <a01561942c7d47699e3a361a6a580934 xmlns="6f562838-09de-4b65-939a-432777c5c6ca">
      <Terms xmlns="http://schemas.microsoft.com/office/infopath/2007/PartnerControls">
        <TermInfo xmlns="http://schemas.microsoft.com/office/infopath/2007/PartnerControls">
          <TermName xmlns="http://schemas.microsoft.com/office/infopath/2007/PartnerControls">Engineering</TermName>
          <TermId xmlns="http://schemas.microsoft.com/office/infopath/2007/PartnerControls">12b95fca-364a-4e75-bfde-3a4be67cafb1</TermId>
        </TermInfo>
      </Terms>
    </a01561942c7d47699e3a361a6a580934>
    <i7a4717f7d5d4c169373d4bfa77876ba xmlns="6f562838-09de-4b65-939a-432777c5c6ca">
      <Terms xmlns="http://schemas.microsoft.com/office/infopath/2007/PartnerControls">
        <TermInfo xmlns="http://schemas.microsoft.com/office/infopath/2007/PartnerControls">
          <TermName xmlns="http://schemas.microsoft.com/office/infopath/2007/PartnerControls">Project Document [Information]</TermName>
          <TermId xmlns="http://schemas.microsoft.com/office/infopath/2007/PartnerControls">1d129e84-9db2-4df6-a74b-09dd873e3970</TermId>
        </TermInfo>
      </Terms>
    </i7a4717f7d5d4c169373d4bfa77876ba>
    <jb15094b84d04db39a8de0b202a5649b xmlns="6f562838-09de-4b65-939a-432777c5c6ca">
      <Terms xmlns="http://schemas.microsoft.com/office/infopath/2007/PartnerControls"/>
    </jb15094b84d04db39a8de0b202a5649b>
    <SolarAuthor xmlns="6f562838-09de-4b65-939a-432777c5c6ca">
      <UserInfo>
        <DisplayName/>
        <AccountId xsi:nil="true"/>
        <AccountType/>
      </UserInfo>
    </SolarAuthor>
    <ece120804c3e4f2e81afd96eec8909f4 xmlns="6f562838-09de-4b65-939a-432777c5c6ca">
      <Terms xmlns="http://schemas.microsoft.com/office/infopath/2007/PartnerControls">
        <TermInfo xmlns="http://schemas.microsoft.com/office/infopath/2007/PartnerControls">
          <TermName xmlns="http://schemas.microsoft.com/office/infopath/2007/PartnerControls">Project</TermName>
          <TermId xmlns="http://schemas.microsoft.com/office/infopath/2007/PartnerControls">1b523ed0-c261-4ad9-b790-ca7c80e7725e</TermId>
        </TermInfo>
      </Terms>
    </ece120804c3e4f2e81afd96eec8909f4>
    <TaxCatchAll xmlns="6f562838-09de-4b65-939a-432777c5c6ca">
      <Value>4</Value>
      <Value>3</Value>
      <Value>2</Value>
      <Value>1</Value>
    </TaxCatchAll>
  </documentManagement>
</p:properties>
</file>

<file path=customXml/item4.xml><?xml version="1.0" encoding="utf-8"?>
<ct:contentTypeSchema xmlns:ct="http://schemas.microsoft.com/office/2006/metadata/contentType" xmlns:ma="http://schemas.microsoft.com/office/2006/metadata/properties/metaAttributes" ct:_="" ma:_="" ma:contentTypeName="Project Document" ma:contentTypeID="0x010100BD80C5A6E3BE6B41A2427F16147D47A40053312233075A4069A30329A9D6153650009BDFA1D5359CBD4C85DAD57477427FFF" ma:contentTypeVersion="30" ma:contentTypeDescription="Solar Project Document Content Type - extends Solar Document; published by the Content Type Hub" ma:contentTypeScope="" ma:versionID="0fb8144282e26997dbfbcfff0a847418">
  <xsd:schema xmlns:xsd="http://www.w3.org/2001/XMLSchema" xmlns:xs="http://www.w3.org/2001/XMLSchema" xmlns:p="http://schemas.microsoft.com/office/2006/metadata/properties" xmlns:ns2="6f562838-09de-4b65-939a-432777c5c6ca" targetNamespace="http://schemas.microsoft.com/office/2006/metadata/properties" ma:root="true" ma:fieldsID="219c1bdc2a51c6b4ea03056f61156727" ns2:_="">
    <xsd:import namespace="6f562838-09de-4b65-939a-432777c5c6ca"/>
    <xsd:element name="properties">
      <xsd:complexType>
        <xsd:sequence>
          <xsd:element name="documentManagement">
            <xsd:complexType>
              <xsd:all>
                <xsd:element ref="ns2:SolarAuthor" minOccurs="0"/>
                <xsd:element ref="ns2:TaxCatchAllLabel" minOccurs="0"/>
                <xsd:element ref="ns2:jb15094b84d04db39a8de0b202a5649b" minOccurs="0"/>
                <xsd:element ref="ns2:a01561942c7d47699e3a361a6a580934" minOccurs="0"/>
                <xsd:element ref="ns2:ece120804c3e4f2e81afd96eec8909f4" minOccurs="0"/>
                <xsd:element ref="ns2:i7a4717f7d5d4c169373d4bfa77876ba" minOccurs="0"/>
                <xsd:element ref="ns2:c2d7d53541144364bb9d71f286b51f7e" minOccurs="0"/>
                <xsd:element ref="ns2:b0b6db7483f14678a4ad7fdce99521be" minOccurs="0"/>
                <xsd:element ref="ns2:TaxCatchAll" minOccurs="0"/>
                <xsd:element ref="ns2:beaf417fcb4a4faab8ee781c2aab7105"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562838-09de-4b65-939a-432777c5c6ca" elementFormDefault="qualified">
    <xsd:import namespace="http://schemas.microsoft.com/office/2006/documentManagement/types"/>
    <xsd:import namespace="http://schemas.microsoft.com/office/infopath/2007/PartnerControls"/>
    <xsd:element name="SolarAuthor" ma:index="5" nillable="true" ma:displayName="Content Author" ma:description="Please specify the author of the content" ma:SharePointGroup="0" ma:internalName="SolarAutho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Label" ma:index="10" nillable="true" ma:displayName="Taxonomy Catch All Column1" ma:hidden="true" ma:list="{391e412a-5cea-40ca-b974-b2b6d4e87d15}" ma:internalName="TaxCatchAllLabel" ma:readOnly="true" ma:showField="CatchAllDataLabel" ma:web="834cc484-bdff-4563-8615-a09634419f15">
      <xsd:complexType>
        <xsd:complexContent>
          <xsd:extension base="dms:MultiChoiceLookup">
            <xsd:sequence>
              <xsd:element name="Value" type="dms:Lookup" maxOccurs="unbounded" minOccurs="0" nillable="true"/>
            </xsd:sequence>
          </xsd:extension>
        </xsd:complexContent>
      </xsd:complexType>
    </xsd:element>
    <xsd:element name="jb15094b84d04db39a8de0b202a5649b" ma:index="12" nillable="true" ma:taxonomy="true" ma:internalName="jb15094b84d04db39a8de0b202a5649b" ma:taxonomyFieldName="SolarBusinessUnit" ma:displayName="Business Unit" ma:readOnly="false" ma:fieldId="{3b15094b-84d0-4db3-9a8d-e0b202a5649b}" ma:taxonomyMulti="true" ma:sspId="b9d2b188-b8f0-4527-ab9c-6ed07e2b5a47" ma:termSetId="9862a471-922d-4dbf-86ff-7f9443f4b69d" ma:anchorId="00000000-0000-0000-0000-000000000000" ma:open="false" ma:isKeyword="false">
      <xsd:complexType>
        <xsd:sequence>
          <xsd:element ref="pc:Terms" minOccurs="0" maxOccurs="1"/>
        </xsd:sequence>
      </xsd:complexType>
    </xsd:element>
    <xsd:element name="a01561942c7d47699e3a361a6a580934" ma:index="14" ma:taxonomy="true" ma:internalName="a01561942c7d47699e3a361a6a580934" ma:taxonomyFieldName="SolarDepartment" ma:displayName="Department" ma:default="" ma:fieldId="{a0156194-2c7d-4769-9e3a-361a6a580934}" ma:sspId="b9d2b188-b8f0-4527-ab9c-6ed07e2b5a47" ma:termSetId="a2a9cd89-8956-43cd-8902-c890ec3194cb" ma:anchorId="00000000-0000-0000-0000-000000000000" ma:open="false" ma:isKeyword="false">
      <xsd:complexType>
        <xsd:sequence>
          <xsd:element ref="pc:Terms" minOccurs="0" maxOccurs="1"/>
        </xsd:sequence>
      </xsd:complexType>
    </xsd:element>
    <xsd:element name="ece120804c3e4f2e81afd96eec8909f4" ma:index="17" ma:taxonomy="true" ma:internalName="ece120804c3e4f2e81afd96eec8909f4" ma:taxonomyFieldName="SolarCategory" ma:displayName="Category" ma:readOnly="false" ma:fieldId="{ece12080-4c3e-4f2e-81af-d96eec8909f4}" ma:sspId="b9d2b188-b8f0-4527-ab9c-6ed07e2b5a47" ma:termSetId="af3054d5-0efb-4d05-9185-ffb492b046bd" ma:anchorId="00000000-0000-0000-0000-000000000000" ma:open="false" ma:isKeyword="false">
      <xsd:complexType>
        <xsd:sequence>
          <xsd:element ref="pc:Terms" minOccurs="0" maxOccurs="1"/>
        </xsd:sequence>
      </xsd:complexType>
    </xsd:element>
    <xsd:element name="i7a4717f7d5d4c169373d4bfa77876ba" ma:index="19" ma:taxonomy="true" ma:internalName="i7a4717f7d5d4c169373d4bfa77876ba" ma:taxonomyFieldName="SolarDocumentType" ma:displayName="Document Type" ma:fieldId="{27a4717f-7d5d-4c16-9373-d4bfa77876ba}" ma:sspId="b9d2b188-b8f0-4527-ab9c-6ed07e2b5a47" ma:termSetId="3becb80b-35bf-4675-a7f1-fd97918282bf" ma:anchorId="00000000-0000-0000-0000-000000000000" ma:open="false" ma:isKeyword="false">
      <xsd:complexType>
        <xsd:sequence>
          <xsd:element ref="pc:Terms" minOccurs="0" maxOccurs="1"/>
        </xsd:sequence>
      </xsd:complexType>
    </xsd:element>
    <xsd:element name="c2d7d53541144364bb9d71f286b51f7e" ma:index="20" ma:taxonomy="true" ma:internalName="c2d7d53541144364bb9d71f286b51f7e" ma:taxonomyFieldName="SolarLocation" ma:displayName="Location" ma:default="1;#Ilam|17015150-e7d5-4990-b358-e90ea571f1b0" ma:fieldId="{c2d7d535-4114-4364-bb9d-71f286b51f7e}" ma:sspId="b9d2b188-b8f0-4527-ab9c-6ed07e2b5a47" ma:termSetId="91c000f1-3349-4c42-8265-e80d17e1367e" ma:anchorId="00000000-0000-0000-0000-000000000000" ma:open="false" ma:isKeyword="false">
      <xsd:complexType>
        <xsd:sequence>
          <xsd:element ref="pc:Terms" minOccurs="0" maxOccurs="1"/>
        </xsd:sequence>
      </xsd:complexType>
    </xsd:element>
    <xsd:element name="b0b6db7483f14678a4ad7fdce99521be" ma:index="21" nillable="true" ma:taxonomy="true" ma:internalName="b0b6db7483f14678a4ad7fdce99521be" ma:taxonomyFieldName="InformationValue" ma:displayName="Information Value" ma:default="" ma:fieldId="{b0b6db74-83f1-4678-a4ad-7fdce99521be}" ma:sspId="b9d2b188-b8f0-4527-ab9c-6ed07e2b5a47" ma:termSetId="34b0f4c5-defa-4470-bf4b-1423e5dab3a3" ma:anchorId="00000000-0000-0000-0000-000000000000" ma:open="false" ma:isKeyword="false">
      <xsd:complexType>
        <xsd:sequence>
          <xsd:element ref="pc:Terms" minOccurs="0" maxOccurs="1"/>
        </xsd:sequence>
      </xsd:complexType>
    </xsd:element>
    <xsd:element name="TaxCatchAll" ma:index="22" nillable="true" ma:displayName="Taxonomy Catch All Column" ma:hidden="true" ma:list="{391e412a-5cea-40ca-b974-b2b6d4e87d15}" ma:internalName="TaxCatchAll" ma:showField="CatchAllData" ma:web="834cc484-bdff-4563-8615-a09634419f15">
      <xsd:complexType>
        <xsd:complexContent>
          <xsd:extension base="dms:MultiChoiceLookup">
            <xsd:sequence>
              <xsd:element name="Value" type="dms:Lookup" maxOccurs="unbounded" minOccurs="0" nillable="true"/>
            </xsd:sequence>
          </xsd:extension>
        </xsd:complexContent>
      </xsd:complexType>
    </xsd:element>
    <xsd:element name="beaf417fcb4a4faab8ee781c2aab7105" ma:index="23" nillable="true" ma:taxonomy="true" ma:internalName="beaf417fcb4a4faab8ee781c2aab7105" ma:taxonomyFieldName="SolarRecordOutcome" ma:displayName="Business Classification" ma:default="" ma:fieldId="{beaf417f-cb4a-4faa-b8ee-781c2aab7105}" ma:sspId="b9d2b188-b8f0-4527-ab9c-6ed07e2b5a47" ma:termSetId="8c3df037-9251-4cc2-8e70-544a7250a86a"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3D23982-B8D0-4BE6-9D8F-572CCBF303AA}"/>
</file>

<file path=customXml/itemProps2.xml><?xml version="1.0" encoding="utf-8"?>
<ds:datastoreItem xmlns:ds="http://schemas.openxmlformats.org/officeDocument/2006/customXml" ds:itemID="{20093D9F-4DDA-4A62-9EAA-1FC59B75397E}"/>
</file>

<file path=customXml/itemProps3.xml><?xml version="1.0" encoding="utf-8"?>
<ds:datastoreItem xmlns:ds="http://schemas.openxmlformats.org/officeDocument/2006/customXml" ds:itemID="{BC8E2C95-B776-4D38-9D98-8B7CA8022282}"/>
</file>

<file path=customXml/itemProps4.xml><?xml version="1.0" encoding="utf-8"?>
<ds:datastoreItem xmlns:ds="http://schemas.openxmlformats.org/officeDocument/2006/customXml" ds:itemID="{1333EEF0-F58A-497B-BEF6-3A1C3A7BA8B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claudio</dc:creator>
  <cp:keywords/>
  <dc:description/>
  <cp:lastModifiedBy/>
  <cp:revision/>
  <dcterms:created xsi:type="dcterms:W3CDTF">2015-06-05T18:19:34Z</dcterms:created>
  <dcterms:modified xsi:type="dcterms:W3CDTF">2024-03-13T04:32:32Z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0x010100BD80C5A6E3BE6B41A2427F16147D47A40053312233075A4069A30329A9D6153650009BDFA1D5359CBD4C85DAD57477427FFF</vt:lpwstr>
  </property>
  <property fmtid="{D5CDD505-2E9C-101B-9397-08002B2CF9AE}" pid="3" name="SolarRecordOutcome">
    <vt:lpwstr/>
  </property>
  <property fmtid="{D5CDD505-2E9C-101B-9397-08002B2CF9AE}" pid="4" name="SolarDocumentType">
    <vt:lpwstr>4;#Project Document [Information]|1d129e84-9db2-4df6-a74b-09dd873e3970</vt:lpwstr>
  </property>
  <property fmtid="{D5CDD505-2E9C-101B-9397-08002B2CF9AE}" pid="5" name="MediaServiceImageTags">
    <vt:lpwstr/>
  </property>
  <property fmtid="{D5CDD505-2E9C-101B-9397-08002B2CF9AE}" pid="6" name="SolarCategory">
    <vt:lpwstr>3;#Project|1b523ed0-c261-4ad9-b790-ca7c80e7725e</vt:lpwstr>
  </property>
  <property fmtid="{D5CDD505-2E9C-101B-9397-08002B2CF9AE}" pid="7" name="lcf76f155ced4ddcb4097134ff3c332f">
    <vt:lpwstr/>
  </property>
  <property fmtid="{D5CDD505-2E9C-101B-9397-08002B2CF9AE}" pid="8" name="SolarLocation">
    <vt:lpwstr>1;#Ilam|17015150-e7d5-4990-b358-e90ea571f1b0</vt:lpwstr>
  </property>
  <property fmtid="{D5CDD505-2E9C-101B-9397-08002B2CF9AE}" pid="9" name="SolarDepartment">
    <vt:lpwstr>2;#Engineering|12b95fca-364a-4e75-bfde-3a4be67cafb1</vt:lpwstr>
  </property>
  <property fmtid="{D5CDD505-2E9C-101B-9397-08002B2CF9AE}" pid="10" name="SolarBusinessUnit">
    <vt:lpwstr/>
  </property>
  <property fmtid="{D5CDD505-2E9C-101B-9397-08002B2CF9AE}" pid="11" name="InformationValue">
    <vt:lpwstr/>
  </property>
</Properties>
</file>